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Gost 1\Desktop\web dokumenti\poslovanje\Financijski planovi\"/>
    </mc:Choice>
  </mc:AlternateContent>
  <xr:revisionPtr revIDLastSave="0" documentId="8_{9FCF2B79-175A-435B-82D5-128071646223}" xr6:coauthVersionLast="47" xr6:coauthVersionMax="47" xr10:uidLastSave="{00000000-0000-0000-0000-000000000000}"/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-120" yWindow="-120" windowWidth="29040" windowHeight="15720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1" hidden="1">'Unos prihoda i primitaka'!$R$5:$V$108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Area" localSheetId="13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  <definedName name="ufzg" localSheetId="6" hidden="1">'A.2 RASHODI'!#REF!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50" i="17" l="1"/>
  <c r="D5" i="34"/>
  <c r="M39" i="4"/>
  <c r="N153" i="17"/>
  <c r="N151" i="17"/>
  <c r="N152" i="17" l="1"/>
  <c r="N154" i="17" s="1"/>
  <c r="AF941" i="25"/>
  <c r="AG941" i="25" s="1"/>
  <c r="W13" i="31"/>
  <c r="U13" i="31"/>
  <c r="Q13" i="31"/>
  <c r="P13" i="31"/>
  <c r="O13" i="31"/>
  <c r="N13" i="31"/>
  <c r="M13" i="31"/>
  <c r="L13" i="31"/>
  <c r="H13" i="31"/>
  <c r="F13" i="31"/>
  <c r="W12" i="31"/>
  <c r="U12" i="31"/>
  <c r="Q12" i="31"/>
  <c r="P12" i="31"/>
  <c r="O12" i="31"/>
  <c r="N12" i="31"/>
  <c r="M12" i="31"/>
  <c r="L12" i="31"/>
  <c r="H12" i="31"/>
  <c r="F12" i="31"/>
  <c r="W35" i="31"/>
  <c r="U35" i="31"/>
  <c r="Q35" i="31"/>
  <c r="P35" i="31"/>
  <c r="O35" i="31"/>
  <c r="N35" i="31"/>
  <c r="M35" i="31"/>
  <c r="L35" i="31"/>
  <c r="H35" i="31"/>
  <c r="F35" i="31"/>
  <c r="W34" i="31"/>
  <c r="U34" i="31"/>
  <c r="Q34" i="31"/>
  <c r="P34" i="31"/>
  <c r="O34" i="31"/>
  <c r="N34" i="31"/>
  <c r="M34" i="31"/>
  <c r="L34" i="31"/>
  <c r="H34" i="31"/>
  <c r="F34" i="31"/>
  <c r="W23" i="31"/>
  <c r="U23" i="31"/>
  <c r="Q23" i="31"/>
  <c r="P23" i="31"/>
  <c r="O23" i="31"/>
  <c r="N23" i="31"/>
  <c r="M23" i="31"/>
  <c r="L23" i="31"/>
  <c r="H23" i="31"/>
  <c r="F23" i="31"/>
  <c r="W24" i="31"/>
  <c r="U24" i="31"/>
  <c r="Q24" i="31"/>
  <c r="P24" i="31"/>
  <c r="O24" i="31"/>
  <c r="N24" i="31"/>
  <c r="M24" i="31"/>
  <c r="L24" i="31"/>
  <c r="H24" i="31"/>
  <c r="F24" i="31"/>
  <c r="G35" i="25" l="1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F8" i="25"/>
  <c r="AG8" i="25" s="1"/>
  <c r="AF9" i="25"/>
  <c r="AG9" i="25" s="1"/>
  <c r="AF10" i="25"/>
  <c r="AG10" i="25" s="1"/>
  <c r="AF11" i="25"/>
  <c r="AG11" i="25" s="1"/>
  <c r="AF12" i="25"/>
  <c r="AG12" i="25" s="1"/>
  <c r="AF13" i="25"/>
  <c r="AG13" i="25" s="1"/>
  <c r="AF14" i="25"/>
  <c r="AG14" i="25" s="1"/>
  <c r="AF15" i="25"/>
  <c r="AG15" i="25" s="1"/>
  <c r="AF16" i="25"/>
  <c r="AG16" i="25" s="1"/>
  <c r="AF17" i="25"/>
  <c r="AG17" i="25" s="1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G23" i="25" s="1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G41" i="25" s="1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G77" i="25" s="1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AF241" i="25"/>
  <c r="AG241" i="25" s="1"/>
  <c r="AF242" i="25"/>
  <c r="AG242" i="25" s="1"/>
  <c r="AF243" i="25"/>
  <c r="AG243" i="25" s="1"/>
  <c r="AF244" i="25"/>
  <c r="AG244" i="25" s="1"/>
  <c r="AF245" i="25"/>
  <c r="AG245" i="25" s="1"/>
  <c r="G51" i="25" s="1"/>
  <c r="T51" i="25" s="1"/>
  <c r="AF246" i="25"/>
  <c r="AG246" i="25" s="1"/>
  <c r="AF247" i="25"/>
  <c r="AG247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G26" i="25" s="1"/>
  <c r="T26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G10" i="25" s="1"/>
  <c r="T10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18" i="25" l="1"/>
  <c r="T18" i="25" s="1"/>
  <c r="G27" i="25"/>
  <c r="T27" i="25" s="1"/>
  <c r="G21" i="25"/>
  <c r="T21" i="25" s="1"/>
  <c r="G14" i="25"/>
  <c r="T14" i="25" s="1"/>
  <c r="G9" i="25"/>
  <c r="T9" i="25" s="1"/>
  <c r="G11" i="25"/>
  <c r="T11" i="25" s="1"/>
  <c r="G15" i="25"/>
  <c r="T15" i="25" s="1"/>
  <c r="G98" i="25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W52" i="14"/>
  <c r="U52" i="14"/>
  <c r="Q52" i="14"/>
  <c r="P52" i="14"/>
  <c r="O52" i="14"/>
  <c r="N52" i="14"/>
  <c r="M52" i="14"/>
  <c r="L52" i="14"/>
  <c r="H52" i="14"/>
  <c r="F52" i="14"/>
  <c r="W51" i="14"/>
  <c r="U51" i="14"/>
  <c r="Q51" i="14"/>
  <c r="P51" i="14"/>
  <c r="O51" i="14"/>
  <c r="N51" i="14"/>
  <c r="M51" i="14"/>
  <c r="L51" i="14"/>
  <c r="H51" i="14"/>
  <c r="F51" i="14"/>
  <c r="W50" i="14"/>
  <c r="U50" i="14"/>
  <c r="Q50" i="14"/>
  <c r="P50" i="14"/>
  <c r="O50" i="14"/>
  <c r="N50" i="14"/>
  <c r="M50" i="14"/>
  <c r="L50" i="14"/>
  <c r="H50" i="14"/>
  <c r="F50" i="14"/>
  <c r="W49" i="14"/>
  <c r="U49" i="14"/>
  <c r="Q49" i="14"/>
  <c r="P49" i="14"/>
  <c r="O49" i="14"/>
  <c r="N49" i="14"/>
  <c r="M49" i="14"/>
  <c r="L49" i="14"/>
  <c r="H49" i="14"/>
  <c r="F49" i="14"/>
  <c r="W48" i="14"/>
  <c r="U48" i="14"/>
  <c r="Q48" i="14"/>
  <c r="P48" i="14"/>
  <c r="O48" i="14"/>
  <c r="N48" i="14"/>
  <c r="M48" i="14"/>
  <c r="L48" i="14"/>
  <c r="H48" i="14"/>
  <c r="F48" i="14"/>
  <c r="W46" i="14"/>
  <c r="U46" i="14"/>
  <c r="Q46" i="14"/>
  <c r="P46" i="14"/>
  <c r="O46" i="14"/>
  <c r="N46" i="14"/>
  <c r="M46" i="14"/>
  <c r="L46" i="14"/>
  <c r="H46" i="14"/>
  <c r="F46" i="14"/>
  <c r="W45" i="14"/>
  <c r="U45" i="14"/>
  <c r="Q45" i="14"/>
  <c r="P45" i="14"/>
  <c r="O45" i="14"/>
  <c r="N45" i="14"/>
  <c r="M45" i="14"/>
  <c r="L45" i="14"/>
  <c r="H45" i="14"/>
  <c r="F45" i="14"/>
  <c r="W44" i="14"/>
  <c r="U44" i="14"/>
  <c r="Q44" i="14"/>
  <c r="P44" i="14"/>
  <c r="O44" i="14"/>
  <c r="N44" i="14"/>
  <c r="M44" i="14"/>
  <c r="L44" i="14"/>
  <c r="H44" i="14"/>
  <c r="F44" i="14"/>
  <c r="W43" i="14"/>
  <c r="U43" i="14"/>
  <c r="Q43" i="14"/>
  <c r="P43" i="14"/>
  <c r="O43" i="14"/>
  <c r="N43" i="14"/>
  <c r="M43" i="14"/>
  <c r="L43" i="14"/>
  <c r="H43" i="14"/>
  <c r="F43" i="14"/>
  <c r="W42" i="14"/>
  <c r="U42" i="14"/>
  <c r="Q42" i="14"/>
  <c r="P42" i="14"/>
  <c r="O42" i="14"/>
  <c r="N42" i="14"/>
  <c r="M42" i="14"/>
  <c r="L42" i="14"/>
  <c r="H42" i="14"/>
  <c r="F42" i="14"/>
  <c r="W41" i="14"/>
  <c r="U41" i="14"/>
  <c r="Q41" i="14"/>
  <c r="P41" i="14"/>
  <c r="O41" i="14"/>
  <c r="N41" i="14"/>
  <c r="M41" i="14"/>
  <c r="L41" i="14"/>
  <c r="H41" i="14"/>
  <c r="F41" i="14"/>
  <c r="W40" i="14"/>
  <c r="U40" i="14"/>
  <c r="Q40" i="14"/>
  <c r="P40" i="14"/>
  <c r="O40" i="14"/>
  <c r="N40" i="14"/>
  <c r="M40" i="14"/>
  <c r="L40" i="14"/>
  <c r="H40" i="14"/>
  <c r="F40" i="14"/>
  <c r="W35" i="14"/>
  <c r="U35" i="14"/>
  <c r="Q35" i="14"/>
  <c r="P35" i="14"/>
  <c r="O35" i="14"/>
  <c r="N35" i="14"/>
  <c r="M35" i="14"/>
  <c r="L35" i="14"/>
  <c r="H35" i="14"/>
  <c r="F35" i="14"/>
  <c r="W34" i="14"/>
  <c r="U34" i="14"/>
  <c r="Q34" i="14"/>
  <c r="P34" i="14"/>
  <c r="O34" i="14"/>
  <c r="N34" i="14"/>
  <c r="M34" i="14"/>
  <c r="L34" i="14"/>
  <c r="H34" i="14"/>
  <c r="F34" i="14"/>
  <c r="W33" i="14"/>
  <c r="U33" i="14"/>
  <c r="Q33" i="14"/>
  <c r="P33" i="14"/>
  <c r="O33" i="14"/>
  <c r="N33" i="14"/>
  <c r="M33" i="14"/>
  <c r="L33" i="14"/>
  <c r="H33" i="14"/>
  <c r="F33" i="14"/>
  <c r="W32" i="14"/>
  <c r="U32" i="14"/>
  <c r="Q32" i="14"/>
  <c r="P32" i="14"/>
  <c r="O32" i="14"/>
  <c r="N32" i="14"/>
  <c r="M32" i="14"/>
  <c r="L32" i="14"/>
  <c r="H32" i="14"/>
  <c r="F32" i="14"/>
  <c r="W31" i="14"/>
  <c r="U31" i="14"/>
  <c r="Q31" i="14"/>
  <c r="P31" i="14"/>
  <c r="O31" i="14"/>
  <c r="N31" i="14"/>
  <c r="M31" i="14"/>
  <c r="L31" i="14"/>
  <c r="H31" i="14"/>
  <c r="F31" i="14"/>
  <c r="W29" i="14"/>
  <c r="U29" i="14"/>
  <c r="Q29" i="14"/>
  <c r="P29" i="14"/>
  <c r="O29" i="14"/>
  <c r="N29" i="14"/>
  <c r="M29" i="14"/>
  <c r="L29" i="14"/>
  <c r="H29" i="14"/>
  <c r="F29" i="14"/>
  <c r="W28" i="14"/>
  <c r="U28" i="14"/>
  <c r="Q28" i="14"/>
  <c r="P28" i="14"/>
  <c r="O28" i="14"/>
  <c r="N28" i="14"/>
  <c r="M28" i="14"/>
  <c r="L28" i="14"/>
  <c r="H28" i="14"/>
  <c r="F28" i="14"/>
  <c r="W27" i="14"/>
  <c r="U27" i="14"/>
  <c r="Q27" i="14"/>
  <c r="P27" i="14"/>
  <c r="O27" i="14"/>
  <c r="N27" i="14"/>
  <c r="M27" i="14"/>
  <c r="L27" i="14"/>
  <c r="H27" i="14"/>
  <c r="F27" i="14"/>
  <c r="W26" i="14"/>
  <c r="U26" i="14"/>
  <c r="Q26" i="14"/>
  <c r="P26" i="14"/>
  <c r="O26" i="14"/>
  <c r="N26" i="14"/>
  <c r="M26" i="14"/>
  <c r="L26" i="14"/>
  <c r="H26" i="14"/>
  <c r="F26" i="14"/>
  <c r="W25" i="14"/>
  <c r="U25" i="14"/>
  <c r="Q25" i="14"/>
  <c r="P25" i="14"/>
  <c r="O25" i="14"/>
  <c r="N25" i="14"/>
  <c r="M25" i="14"/>
  <c r="L25" i="14"/>
  <c r="H25" i="14"/>
  <c r="F25" i="14"/>
  <c r="W24" i="14"/>
  <c r="U24" i="14"/>
  <c r="Q24" i="14"/>
  <c r="P24" i="14"/>
  <c r="O24" i="14"/>
  <c r="N24" i="14"/>
  <c r="M24" i="14"/>
  <c r="L24" i="14"/>
  <c r="H24" i="14"/>
  <c r="F24" i="14"/>
  <c r="W23" i="14"/>
  <c r="U23" i="14"/>
  <c r="Q23" i="14"/>
  <c r="P23" i="14"/>
  <c r="O23" i="14"/>
  <c r="N23" i="14"/>
  <c r="M23" i="14"/>
  <c r="L23" i="14"/>
  <c r="H23" i="14"/>
  <c r="F23" i="14"/>
  <c r="W18" i="14"/>
  <c r="U18" i="14"/>
  <c r="Q18" i="14"/>
  <c r="P18" i="14"/>
  <c r="O18" i="14"/>
  <c r="N18" i="14"/>
  <c r="M18" i="14"/>
  <c r="L18" i="14"/>
  <c r="H18" i="14"/>
  <c r="F18" i="14"/>
  <c r="W17" i="14"/>
  <c r="U17" i="14"/>
  <c r="Q17" i="14"/>
  <c r="P17" i="14"/>
  <c r="O17" i="14"/>
  <c r="N17" i="14"/>
  <c r="M17" i="14"/>
  <c r="L17" i="14"/>
  <c r="H17" i="14"/>
  <c r="F17" i="14"/>
  <c r="W16" i="14"/>
  <c r="U16" i="14"/>
  <c r="Q16" i="14"/>
  <c r="P16" i="14"/>
  <c r="O16" i="14"/>
  <c r="N16" i="14"/>
  <c r="M16" i="14"/>
  <c r="L16" i="14"/>
  <c r="H16" i="14"/>
  <c r="F16" i="14"/>
  <c r="W15" i="14"/>
  <c r="U15" i="14"/>
  <c r="Q15" i="14"/>
  <c r="P15" i="14"/>
  <c r="O15" i="14"/>
  <c r="N15" i="14"/>
  <c r="M15" i="14"/>
  <c r="L15" i="14"/>
  <c r="H15" i="14"/>
  <c r="F15" i="14"/>
  <c r="W14" i="14"/>
  <c r="U14" i="14"/>
  <c r="Q14" i="14"/>
  <c r="P14" i="14"/>
  <c r="O14" i="14"/>
  <c r="N14" i="14"/>
  <c r="M14" i="14"/>
  <c r="L14" i="14"/>
  <c r="H14" i="14"/>
  <c r="F14" i="14"/>
  <c r="W12" i="14"/>
  <c r="U12" i="14"/>
  <c r="Q12" i="14"/>
  <c r="P12" i="14"/>
  <c r="O12" i="14"/>
  <c r="N12" i="14"/>
  <c r="M12" i="14"/>
  <c r="L12" i="14"/>
  <c r="H12" i="14"/>
  <c r="F12" i="14"/>
  <c r="W11" i="14"/>
  <c r="U11" i="14"/>
  <c r="Q11" i="14"/>
  <c r="P11" i="14"/>
  <c r="O11" i="14"/>
  <c r="N11" i="14"/>
  <c r="M11" i="14"/>
  <c r="L11" i="14"/>
  <c r="H11" i="14"/>
  <c r="F11" i="14"/>
  <c r="W10" i="14"/>
  <c r="U10" i="14"/>
  <c r="Q10" i="14"/>
  <c r="P10" i="14"/>
  <c r="O10" i="14"/>
  <c r="N10" i="14"/>
  <c r="M10" i="14"/>
  <c r="L10" i="14"/>
  <c r="H10" i="14"/>
  <c r="F10" i="14"/>
  <c r="W9" i="14"/>
  <c r="U9" i="14"/>
  <c r="Q9" i="14"/>
  <c r="P9" i="14"/>
  <c r="O9" i="14"/>
  <c r="N9" i="14"/>
  <c r="M9" i="14"/>
  <c r="L9" i="14"/>
  <c r="H9" i="14"/>
  <c r="F9" i="14"/>
  <c r="W8" i="14"/>
  <c r="U8" i="14"/>
  <c r="Q8" i="14"/>
  <c r="P8" i="14"/>
  <c r="O8" i="14"/>
  <c r="N8" i="14"/>
  <c r="M8" i="14"/>
  <c r="L8" i="14"/>
  <c r="H8" i="14"/>
  <c r="F8" i="14"/>
  <c r="W7" i="14"/>
  <c r="U7" i="14"/>
  <c r="Q7" i="14"/>
  <c r="P7" i="14"/>
  <c r="O7" i="14"/>
  <c r="N7" i="14"/>
  <c r="M7" i="14"/>
  <c r="L7" i="14"/>
  <c r="H7" i="14"/>
  <c r="F7" i="14"/>
  <c r="W6" i="14"/>
  <c r="U6" i="14"/>
  <c r="Q6" i="14"/>
  <c r="P6" i="14"/>
  <c r="O6" i="14"/>
  <c r="N6" i="14"/>
  <c r="M6" i="14"/>
  <c r="L6" i="14"/>
  <c r="H6" i="14"/>
  <c r="F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F30" i="14" l="1"/>
  <c r="U30" i="14"/>
  <c r="L30" i="14"/>
  <c r="Q30" i="14"/>
  <c r="O30" i="14"/>
  <c r="L47" i="14"/>
  <c r="H30" i="14"/>
  <c r="M30" i="14"/>
  <c r="W30" i="14"/>
  <c r="H47" i="14"/>
  <c r="F47" i="14"/>
  <c r="W47" i="14"/>
  <c r="P30" i="14"/>
  <c r="N30" i="14"/>
  <c r="Q47" i="14"/>
  <c r="O47" i="14"/>
  <c r="M47" i="14"/>
  <c r="P47" i="14"/>
  <c r="U47" i="14"/>
  <c r="N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C21" i="33"/>
  <c r="E66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C29" i="12"/>
  <c r="C75" i="12" s="1"/>
  <c r="F33" i="31"/>
  <c r="H33" i="31"/>
  <c r="L33" i="31"/>
  <c r="M33" i="31"/>
  <c r="N33" i="31"/>
  <c r="O33" i="31"/>
  <c r="P33" i="31"/>
  <c r="Q33" i="31"/>
  <c r="U33" i="31"/>
  <c r="W33" i="31"/>
  <c r="F22" i="31"/>
  <c r="H22" i="31"/>
  <c r="L22" i="31"/>
  <c r="M22" i="31"/>
  <c r="N22" i="31"/>
  <c r="O22" i="31"/>
  <c r="P22" i="31"/>
  <c r="Q22" i="31"/>
  <c r="U22" i="31"/>
  <c r="W22" i="31"/>
  <c r="F11" i="31"/>
  <c r="H11" i="31"/>
  <c r="L11" i="31"/>
  <c r="M11" i="31"/>
  <c r="N11" i="31"/>
  <c r="O11" i="31"/>
  <c r="P11" i="31"/>
  <c r="Q11" i="31"/>
  <c r="U11" i="31"/>
  <c r="W11" i="31"/>
  <c r="D13" i="34" l="1"/>
  <c r="D29" i="12" s="1"/>
  <c r="D75" i="12" s="1"/>
  <c r="D21" i="34"/>
  <c r="E29" i="12" s="1"/>
  <c r="E75" i="12" s="1"/>
  <c r="L25" i="12" l="1"/>
  <c r="L26" i="12"/>
  <c r="P13" i="14" l="1"/>
  <c r="H5" i="14"/>
  <c r="W13" i="14"/>
  <c r="H13" i="14"/>
  <c r="L5" i="14"/>
  <c r="W5" i="14"/>
  <c r="L13" i="14"/>
  <c r="P5" i="14"/>
  <c r="M13" i="14"/>
  <c r="Q13" i="14"/>
  <c r="U13" i="14"/>
  <c r="M5" i="14"/>
  <c r="Q5" i="14"/>
  <c r="U5" i="14"/>
  <c r="U4" i="14" l="1"/>
  <c r="W4" i="14"/>
  <c r="H4" i="14"/>
  <c r="M4" i="14"/>
  <c r="P4" i="14"/>
  <c r="Q4" i="14"/>
  <c r="L4" i="14"/>
  <c r="L9" i="34" l="1"/>
  <c r="C17" i="32"/>
  <c r="H9" i="34"/>
  <c r="C12" i="32"/>
  <c r="Q9" i="34"/>
  <c r="C22" i="32"/>
  <c r="P9" i="34"/>
  <c r="C21" i="32"/>
  <c r="W9" i="34"/>
  <c r="C31" i="32"/>
  <c r="C30" i="32" s="1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F501" i="4" l="1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L37" i="13"/>
  <c r="Q46" i="13"/>
  <c r="K40" i="13"/>
  <c r="J42" i="13"/>
  <c r="K39" i="13"/>
  <c r="V44" i="13" l="1"/>
  <c r="G30" i="13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W39" i="14"/>
  <c r="W38" i="14" s="1"/>
  <c r="P39" i="14"/>
  <c r="H39" i="14"/>
  <c r="P38" i="14" l="1"/>
  <c r="E21" i="32" s="1"/>
  <c r="W25" i="34"/>
  <c r="E31" i="32"/>
  <c r="E30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J12" i="31" l="1"/>
  <c r="J35" i="31"/>
  <c r="J13" i="31"/>
  <c r="J34" i="31"/>
  <c r="J23" i="31"/>
  <c r="J24" i="31"/>
  <c r="J49" i="14"/>
  <c r="J42" i="14"/>
  <c r="J32" i="14"/>
  <c r="J25" i="14"/>
  <c r="J15" i="14"/>
  <c r="J8" i="14"/>
  <c r="J34" i="14"/>
  <c r="J17" i="14"/>
  <c r="J48" i="14"/>
  <c r="J41" i="14"/>
  <c r="J31" i="14"/>
  <c r="J24" i="14"/>
  <c r="J14" i="14"/>
  <c r="J7" i="14"/>
  <c r="J51" i="14"/>
  <c r="J44" i="14"/>
  <c r="J46" i="14"/>
  <c r="J40" i="14"/>
  <c r="J29" i="14"/>
  <c r="J23" i="14"/>
  <c r="J12" i="14"/>
  <c r="J6" i="14"/>
  <c r="J10" i="14"/>
  <c r="J52" i="14"/>
  <c r="J45" i="14"/>
  <c r="J35" i="14"/>
  <c r="J28" i="14"/>
  <c r="J18" i="14"/>
  <c r="J11" i="14"/>
  <c r="J27" i="14"/>
  <c r="J50" i="14"/>
  <c r="J43" i="14"/>
  <c r="J33" i="14"/>
  <c r="J26" i="14"/>
  <c r="J16" i="14"/>
  <c r="J9" i="14"/>
  <c r="N13" i="14"/>
  <c r="N39" i="14"/>
  <c r="N5" i="14"/>
  <c r="O39" i="14"/>
  <c r="O13" i="14"/>
  <c r="F5" i="14"/>
  <c r="O5" i="14"/>
  <c r="F39" i="14"/>
  <c r="F13" i="14"/>
  <c r="L39" i="14"/>
  <c r="Y83" i="17"/>
  <c r="Z83" i="17"/>
  <c r="Y82" i="17"/>
  <c r="Z82" i="17"/>
  <c r="J30" i="14" l="1"/>
  <c r="J22" i="31"/>
  <c r="J33" i="31"/>
  <c r="J47" i="14"/>
  <c r="J11" i="31"/>
  <c r="F38" i="14"/>
  <c r="F25" i="34" s="1"/>
  <c r="N4" i="14"/>
  <c r="C19" i="32" s="1"/>
  <c r="N38" i="14"/>
  <c r="O4" i="14"/>
  <c r="F4" i="14"/>
  <c r="L38" i="14"/>
  <c r="O38" i="14"/>
  <c r="Y10" i="17"/>
  <c r="Z10" i="17"/>
  <c r="N9" i="34" l="1"/>
  <c r="E8" i="32"/>
  <c r="L25" i="34"/>
  <c r="L26" i="34" s="1"/>
  <c r="E17" i="32"/>
  <c r="F9" i="34"/>
  <c r="C8" i="32"/>
  <c r="O9" i="34"/>
  <c r="C20" i="32"/>
  <c r="O25" i="34"/>
  <c r="E20" i="32"/>
  <c r="N25" i="34"/>
  <c r="E19" i="32"/>
  <c r="Z81" i="17"/>
  <c r="Y81" i="17"/>
  <c r="D19" i="31" l="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W10" i="34" s="1"/>
  <c r="D27" i="12"/>
  <c r="D73" i="12" s="1"/>
  <c r="W16" i="34"/>
  <c r="E27" i="12"/>
  <c r="E73" i="12" s="1"/>
  <c r="W24" i="34"/>
  <c r="W26" i="34" s="1"/>
  <c r="R22" i="13"/>
  <c r="R14" i="34" s="1"/>
  <c r="R16" i="34" s="1"/>
  <c r="R36" i="13"/>
  <c r="R22" i="34" s="1"/>
  <c r="R24" i="34" s="1"/>
  <c r="H22" i="14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R23" i="31" l="1"/>
  <c r="R43" i="14"/>
  <c r="R11" i="14"/>
  <c r="R44" i="14"/>
  <c r="R32" i="14"/>
  <c r="R23" i="14"/>
  <c r="R10" i="14"/>
  <c r="R41" i="14"/>
  <c r="R52" i="14"/>
  <c r="R24" i="14"/>
  <c r="R26" i="14"/>
  <c r="R15" i="14"/>
  <c r="R16" i="14"/>
  <c r="R7" i="14"/>
  <c r="R13" i="31"/>
  <c r="R51" i="14"/>
  <c r="R29" i="14"/>
  <c r="R8" i="14"/>
  <c r="R50" i="14"/>
  <c r="R12" i="31"/>
  <c r="R48" i="14"/>
  <c r="R18" i="14"/>
  <c r="R46" i="14"/>
  <c r="R34" i="14"/>
  <c r="R25" i="14"/>
  <c r="R12" i="14"/>
  <c r="R45" i="14"/>
  <c r="R9" i="14"/>
  <c r="R31" i="14"/>
  <c r="R24" i="31"/>
  <c r="R35" i="31"/>
  <c r="R49" i="14"/>
  <c r="R40" i="14"/>
  <c r="R27" i="14"/>
  <c r="R6" i="14"/>
  <c r="R35" i="14"/>
  <c r="R34" i="31"/>
  <c r="R33" i="14"/>
  <c r="R42" i="14"/>
  <c r="R17" i="14"/>
  <c r="R28" i="14"/>
  <c r="R14" i="14"/>
  <c r="S13" i="31"/>
  <c r="S23" i="31"/>
  <c r="S12" i="31"/>
  <c r="S24" i="31"/>
  <c r="S35" i="31"/>
  <c r="S34" i="31"/>
  <c r="S51" i="14"/>
  <c r="S46" i="14"/>
  <c r="S42" i="14"/>
  <c r="S34" i="14"/>
  <c r="S29" i="14"/>
  <c r="S25" i="14"/>
  <c r="S17" i="14"/>
  <c r="S12" i="14"/>
  <c r="S8" i="14"/>
  <c r="S50" i="14"/>
  <c r="S45" i="14"/>
  <c r="S41" i="14"/>
  <c r="S33" i="14"/>
  <c r="S28" i="14"/>
  <c r="S7" i="14"/>
  <c r="S49" i="14"/>
  <c r="S44" i="14"/>
  <c r="S32" i="14"/>
  <c r="S27" i="14"/>
  <c r="S23" i="14"/>
  <c r="S15" i="14"/>
  <c r="S52" i="14"/>
  <c r="S48" i="14"/>
  <c r="S43" i="14"/>
  <c r="S35" i="14"/>
  <c r="S31" i="14"/>
  <c r="S26" i="14"/>
  <c r="S18" i="14"/>
  <c r="S14" i="14"/>
  <c r="S9" i="14"/>
  <c r="S24" i="14"/>
  <c r="S16" i="14"/>
  <c r="S11" i="14"/>
  <c r="S40" i="14"/>
  <c r="S10" i="14"/>
  <c r="S6" i="14"/>
  <c r="V34" i="3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6" i="14"/>
  <c r="K45" i="14"/>
  <c r="K28" i="14"/>
  <c r="K24" i="14"/>
  <c r="K49" i="14"/>
  <c r="K44" i="14"/>
  <c r="K40" i="14"/>
  <c r="K32" i="14"/>
  <c r="K27" i="14"/>
  <c r="K23" i="14"/>
  <c r="K15" i="14"/>
  <c r="K10" i="14"/>
  <c r="K33" i="14"/>
  <c r="K7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8" i="14"/>
  <c r="E7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E8" i="34"/>
  <c r="L22" i="14"/>
  <c r="S30" i="14" l="1"/>
  <c r="S47" i="14"/>
  <c r="S13" i="14"/>
  <c r="S11" i="31"/>
  <c r="R33" i="31"/>
  <c r="R30" i="14"/>
  <c r="R47" i="14"/>
  <c r="R22" i="31"/>
  <c r="S5" i="14"/>
  <c r="S33" i="31"/>
  <c r="S22" i="31"/>
  <c r="R11" i="31"/>
  <c r="I22" i="3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S4" i="14" l="1"/>
  <c r="V38" i="14"/>
  <c r="D22" i="31"/>
  <c r="D28" i="12" s="1"/>
  <c r="D74" i="12" s="1"/>
  <c r="D77" i="12" s="1"/>
  <c r="D11" i="31"/>
  <c r="C28" i="12" s="1"/>
  <c r="C74" i="12" s="1"/>
  <c r="C77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C24" i="32" l="1"/>
  <c r="S9" i="34"/>
  <c r="S10" i="34" s="1"/>
  <c r="J25" i="34"/>
  <c r="E15" i="32"/>
  <c r="V25" i="34"/>
  <c r="E29" i="32"/>
  <c r="E28" i="32" s="1"/>
  <c r="C26" i="32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E6" i="32" s="1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10" i="34" s="1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K21" i="14" l="1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4" i="32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C31" i="12"/>
  <c r="D44" i="13"/>
  <c r="E17" i="12" s="1"/>
  <c r="E63" i="12" s="1"/>
  <c r="D30" i="13"/>
  <c r="D17" i="12" s="1"/>
  <c r="D63" i="12" s="1"/>
  <c r="F8" i="34" l="1"/>
  <c r="F10" i="34" s="1"/>
  <c r="G6" i="34"/>
  <c r="D14" i="34"/>
  <c r="D22" i="34"/>
  <c r="D62" i="12"/>
  <c r="D68" i="12" s="1"/>
  <c r="D79" i="12" s="1"/>
  <c r="E62" i="12"/>
  <c r="E68" i="12" s="1"/>
  <c r="E79" i="12" s="1"/>
  <c r="D8" i="13"/>
  <c r="C68" i="12"/>
  <c r="C79" i="12" s="1"/>
  <c r="I6" i="34"/>
  <c r="E26" i="34"/>
  <c r="D26" i="34" s="1"/>
  <c r="D24" i="34"/>
  <c r="F18" i="34"/>
  <c r="D18" i="34" s="1"/>
  <c r="D16" i="34"/>
  <c r="D36" i="13"/>
  <c r="D16" i="12"/>
  <c r="D22" i="12" s="1"/>
  <c r="D33" i="12" s="1"/>
  <c r="E16" i="12"/>
  <c r="E22" i="12" s="1"/>
  <c r="E33" i="12" s="1"/>
  <c r="C16" i="12"/>
  <c r="C22" i="12" s="1"/>
  <c r="C33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10" i="34" s="1"/>
  <c r="D8" i="34"/>
</calcChain>
</file>

<file path=xl/sharedStrings.xml><?xml version="1.0" encoding="utf-8"?>
<sst xmlns="http://schemas.openxmlformats.org/spreadsheetml/2006/main" count="14102" uniqueCount="5298">
  <si>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</si>
  <si>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</si>
  <si>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</si>
  <si>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</si>
  <si>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</si>
  <si>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</si>
  <si>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</si>
  <si>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</si>
  <si>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</si>
  <si>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</si>
  <si>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</si>
  <si>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</si>
  <si>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</si>
  <si>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</si>
  <si>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</si>
  <si>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</si>
  <si>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</si>
  <si>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</si>
  <si>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</si>
  <si>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</si>
  <si>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</si>
  <si>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</si>
  <si>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</si>
  <si>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</si>
  <si>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</si>
  <si>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</si>
  <si>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</si>
  <si>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</si>
  <si>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</si>
  <si>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</si>
  <si>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</si>
  <si>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</si>
  <si>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</si>
  <si>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</si>
  <si>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</si>
  <si>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</si>
  <si>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</si>
  <si>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</si>
  <si>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</si>
  <si>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</si>
  <si>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</si>
  <si>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</si>
  <si>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</si>
  <si>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</si>
  <si>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</si>
  <si>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</si>
  <si>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</si>
  <si>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</si>
  <si>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</si>
  <si>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</si>
  <si>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</si>
  <si>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</si>
  <si>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</si>
  <si>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</si>
  <si>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</si>
  <si>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</si>
  <si>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</si>
  <si>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</si>
  <si>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</si>
  <si>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</si>
  <si>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</si>
  <si>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</si>
  <si>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</si>
  <si>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</si>
  <si>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</si>
  <si>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</si>
  <si>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</si>
  <si>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</si>
  <si>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</si>
  <si>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</si>
  <si>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</si>
  <si>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</si>
  <si>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</si>
  <si>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</si>
  <si>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</si>
  <si>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</si>
  <si>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</si>
  <si>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</si>
  <si>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</si>
  <si>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</si>
  <si>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</si>
  <si>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</si>
  <si>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</si>
  <si>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</si>
  <si>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</si>
  <si>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</si>
  <si>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</si>
  <si>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</si>
  <si>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</si>
  <si>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</si>
  <si>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</si>
  <si>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</si>
  <si>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</si>
  <si>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</si>
  <si>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</si>
  <si>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</si>
  <si>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</si>
  <si>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</si>
  <si>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</si>
  <si>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</si>
  <si>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</si>
  <si>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</si>
  <si>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</si>
  <si>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</si>
  <si>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</si>
  <si>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</si>
  <si>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</si>
  <si>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</si>
  <si>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</si>
  <si>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</si>
  <si>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</si>
  <si>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</si>
  <si>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</si>
  <si>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</si>
  <si>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</si>
  <si>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</si>
  <si>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</si>
  <si>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</si>
  <si>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</si>
  <si>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</si>
  <si>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</si>
  <si>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</si>
  <si>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</si>
  <si>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</si>
  <si>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</si>
  <si>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</si>
  <si>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</si>
  <si>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</si>
  <si>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</si>
  <si>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</si>
  <si>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</si>
  <si>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</si>
  <si>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</si>
  <si>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</si>
  <si>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</si>
  <si>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</si>
  <si>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</si>
  <si>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</si>
  <si>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</si>
  <si>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</si>
  <si>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</si>
  <si>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</si>
  <si>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</si>
  <si>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</si>
  <si>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</si>
  <si>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</si>
  <si>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</si>
  <si>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</si>
  <si>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</si>
  <si>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</si>
  <si>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</si>
  <si>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</si>
  <si>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</si>
  <si>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</si>
  <si>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</si>
  <si>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</si>
  <si>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</si>
  <si>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</si>
  <si>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</si>
  <si>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</si>
  <si>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</si>
  <si>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</si>
  <si>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</si>
  <si>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</si>
  <si>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</si>
  <si>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</si>
  <si>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</si>
  <si>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</si>
  <si>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</si>
  <si>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</si>
  <si>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</si>
  <si>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</si>
  <si>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</si>
  <si>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</si>
  <si>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</si>
  <si>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</si>
  <si>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</si>
  <si>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</si>
  <si>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</si>
  <si>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</si>
  <si>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</si>
  <si>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</si>
  <si>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</si>
  <si>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</si>
  <si>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</si>
  <si>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</si>
  <si>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</si>
  <si>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</si>
  <si>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</si>
  <si>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</si>
  <si>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</si>
  <si>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</si>
  <si>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</si>
  <si>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</si>
  <si>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</si>
  <si>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</si>
  <si>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</si>
  <si>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</si>
  <si>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</si>
  <si>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</si>
  <si>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</si>
  <si>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</si>
  <si>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</si>
  <si>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</si>
  <si>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</si>
  <si>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</si>
  <si>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</si>
  <si>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</si>
  <si>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</si>
  <si>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</si>
  <si>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</si>
  <si>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</si>
  <si>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</si>
  <si>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</si>
  <si>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</si>
  <si>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</si>
  <si>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</si>
  <si>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</si>
  <si>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</si>
  <si>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</si>
  <si>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</si>
  <si>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</si>
  <si>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</si>
  <si>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</si>
  <si>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</si>
  <si>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</si>
  <si>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</si>
  <si>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</si>
  <si>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</si>
  <si>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</si>
  <si>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</si>
  <si>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</si>
  <si>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</si>
  <si>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</si>
  <si>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</si>
  <si>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</si>
  <si>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</si>
  <si>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</si>
  <si>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</si>
  <si>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</si>
  <si>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</si>
  <si>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</si>
  <si>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</si>
  <si>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</si>
  <si>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</si>
  <si>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</si>
  <si>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</si>
  <si>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</si>
  <si>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</si>
  <si>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</si>
  <si>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</si>
  <si>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</si>
  <si>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</si>
  <si>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</si>
  <si>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</si>
  <si>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</si>
  <si>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</si>
  <si>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</si>
  <si>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</si>
  <si>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</si>
  <si>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</si>
  <si>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</si>
  <si>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</si>
  <si>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</si>
  <si>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</si>
  <si>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</si>
  <si>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</si>
  <si>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</si>
  <si>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</si>
  <si>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</si>
  <si>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</si>
  <si>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</si>
  <si>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</si>
  <si>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</si>
  <si>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</si>
  <si>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</si>
  <si>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</si>
  <si>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</si>
  <si>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</si>
  <si>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</si>
  <si>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</si>
  <si>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</si>
  <si>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</si>
  <si>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</si>
  <si>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</si>
  <si>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</si>
  <si>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</si>
  <si>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</si>
  <si>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</si>
  <si>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</si>
  <si>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</si>
  <si>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</si>
  <si>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</si>
  <si>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</si>
  <si>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</si>
  <si>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</si>
  <si>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</si>
  <si>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</si>
  <si>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</si>
  <si>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</si>
  <si>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</si>
  <si>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</si>
  <si>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</si>
  <si>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</si>
  <si>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</si>
  <si>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</si>
  <si>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</si>
  <si>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</si>
  <si>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</si>
  <si>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</si>
  <si>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</si>
  <si>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</si>
  <si>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</si>
  <si>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</si>
  <si>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</si>
  <si>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</si>
  <si>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</si>
  <si>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</si>
  <si>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</si>
  <si>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</si>
  <si>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</si>
  <si>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</si>
  <si>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</si>
  <si>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</si>
  <si>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</si>
  <si>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</si>
  <si>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</si>
  <si>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</si>
  <si>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</si>
  <si>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</si>
  <si>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</si>
  <si>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</si>
  <si>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</si>
  <si>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</si>
  <si>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</si>
  <si>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</si>
  <si>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</si>
  <si>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</si>
  <si>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</si>
  <si>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</si>
  <si>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</si>
  <si>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</si>
  <si>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</si>
  <si>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</si>
  <si>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</si>
  <si>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</si>
  <si>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</si>
  <si>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</si>
  <si>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</si>
  <si>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</si>
  <si>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</si>
  <si>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</si>
  <si>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</si>
  <si>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</si>
  <si>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</si>
  <si>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</si>
  <si>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</si>
  <si>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</si>
  <si>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</si>
  <si>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</si>
  <si>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</si>
  <si>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</si>
  <si>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</si>
  <si>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</si>
  <si>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</si>
  <si>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</si>
  <si>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</si>
  <si>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</si>
  <si>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</si>
  <si>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</si>
  <si>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</si>
  <si>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</si>
  <si>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</si>
  <si>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</si>
  <si>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</si>
  <si>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</si>
  <si>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</si>
  <si>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</si>
  <si>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</si>
  <si>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</si>
  <si>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</si>
  <si>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</si>
  <si>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</si>
  <si>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</si>
  <si>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</si>
  <si>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</si>
  <si>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</si>
  <si>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</si>
  <si>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</si>
  <si>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</si>
  <si>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</si>
  <si>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</si>
  <si>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</si>
  <si>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</si>
  <si>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</si>
  <si>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</si>
  <si>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</si>
  <si>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</si>
  <si>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</si>
  <si>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</si>
  <si>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</si>
  <si>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</si>
  <si>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</si>
  <si>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</si>
  <si>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</si>
  <si>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</si>
  <si>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</si>
  <si>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</si>
  <si>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</si>
  <si>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</si>
  <si>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</si>
  <si>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</si>
  <si>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</si>
  <si>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</si>
  <si>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</si>
  <si>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</si>
  <si>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</si>
  <si>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</si>
  <si>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</si>
  <si>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</si>
  <si>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</si>
  <si>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</si>
  <si>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</si>
  <si>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</si>
  <si>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</si>
  <si>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</si>
  <si>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</si>
  <si>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</si>
  <si>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</si>
  <si>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</si>
  <si>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</si>
  <si>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</si>
  <si>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</si>
  <si>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</si>
  <si>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</si>
  <si>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</si>
  <si>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</si>
  <si>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</si>
  <si>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</si>
  <si>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</si>
  <si>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</si>
  <si>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</si>
  <si>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</si>
  <si>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</si>
  <si>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</si>
  <si>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</si>
  <si>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</si>
  <si>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</si>
  <si>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</si>
  <si>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</si>
  <si>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</si>
  <si>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</si>
  <si>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</si>
  <si>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</si>
  <si>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</si>
  <si>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</si>
  <si>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</si>
  <si>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</si>
  <si>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</si>
  <si>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</si>
  <si>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</si>
  <si>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</si>
  <si>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</si>
  <si>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</si>
  <si>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</si>
  <si>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</si>
  <si>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</si>
  <si>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</si>
  <si>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</si>
  <si>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</si>
  <si>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</si>
  <si>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</si>
  <si>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</si>
  <si>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</si>
  <si>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</si>
  <si>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</si>
  <si>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</si>
  <si>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</si>
  <si>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</si>
  <si>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</si>
  <si>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</si>
  <si>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</si>
  <si>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</si>
  <si>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</si>
  <si>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</si>
  <si>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</si>
  <si>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</si>
  <si>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</si>
  <si>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</si>
  <si>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</si>
  <si>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</si>
  <si>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</si>
  <si>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</si>
  <si>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</si>
  <si>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</si>
  <si>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</si>
  <si>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</si>
  <si>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</si>
  <si>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</si>
  <si>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</si>
  <si>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</si>
  <si>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</si>
  <si>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</si>
  <si>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</si>
  <si>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</si>
  <si>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</si>
  <si>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</si>
  <si>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</si>
  <si>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</si>
  <si>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</si>
  <si>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</si>
  <si>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</si>
  <si>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</si>
  <si>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</si>
  <si>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</si>
  <si>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</si>
  <si>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</si>
  <si>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</si>
  <si>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</si>
  <si>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</si>
  <si>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</si>
  <si>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</si>
  <si>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</si>
  <si>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</si>
  <si>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</si>
  <si>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</si>
  <si>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</si>
  <si>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</si>
  <si>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</si>
  <si>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</si>
  <si>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</si>
  <si>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</si>
  <si>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</si>
  <si>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</si>
  <si>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</si>
  <si>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</si>
  <si>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</si>
  <si>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</si>
  <si>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</si>
  <si>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</si>
  <si>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</si>
  <si>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</si>
  <si>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</si>
  <si>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</si>
  <si>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</si>
  <si>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</si>
  <si>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</si>
  <si>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</si>
  <si>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</si>
  <si>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</si>
  <si>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</si>
  <si>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</si>
  <si>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</si>
  <si>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</si>
  <si>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</si>
  <si>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</si>
  <si>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</si>
  <si>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</si>
  <si>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</si>
  <si>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</si>
  <si>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</si>
  <si>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</si>
  <si>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</si>
  <si>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</si>
  <si>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</si>
  <si>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</si>
  <si>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</si>
  <si>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</si>
  <si>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</si>
  <si>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</si>
  <si>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</si>
  <si>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</si>
  <si>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</si>
  <si>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</si>
  <si>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</si>
  <si>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</si>
  <si>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</si>
  <si>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</si>
  <si>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</si>
  <si>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</si>
  <si>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</si>
  <si>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</si>
  <si>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</si>
  <si>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</si>
  <si>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</si>
  <si>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</si>
  <si>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</si>
  <si>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</si>
  <si>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</si>
  <si>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</si>
  <si>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</si>
  <si>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</si>
  <si>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</si>
  <si>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</si>
  <si>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</si>
  <si>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</si>
  <si>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</si>
  <si>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</si>
  <si>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</si>
  <si>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</si>
  <si>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</si>
  <si>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</si>
  <si>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</si>
  <si>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</si>
  <si>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</si>
  <si>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</si>
  <si>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</si>
  <si>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</si>
  <si>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</si>
  <si>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</si>
  <si>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</si>
  <si>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</si>
  <si>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</si>
  <si>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</si>
  <si>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</si>
  <si>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</si>
  <si>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</si>
  <si>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</si>
  <si>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</si>
  <si>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</si>
  <si>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</si>
  <si>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</si>
  <si>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</si>
  <si>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</si>
  <si>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</si>
  <si>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</si>
  <si>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</si>
  <si>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</si>
  <si>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</si>
  <si>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</si>
  <si>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</si>
  <si>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</si>
  <si>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</si>
  <si>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</si>
  <si>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</si>
  <si>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</si>
  <si>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</si>
  <si>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</si>
  <si>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</si>
  <si>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</si>
  <si>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</si>
  <si>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</si>
  <si>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</si>
  <si>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</si>
  <si>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</si>
  <si>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</si>
  <si>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</si>
  <si>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</si>
  <si>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</si>
  <si>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</si>
  <si>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</si>
  <si>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</si>
  <si>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</si>
  <si>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</si>
  <si>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</si>
  <si>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</si>
  <si>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</si>
  <si>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</si>
  <si>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</si>
  <si>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</si>
  <si>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</si>
  <si>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</si>
  <si>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</si>
  <si>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</si>
  <si>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</si>
  <si>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</si>
  <si>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</si>
  <si>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</si>
  <si>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</si>
  <si>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</si>
  <si>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</si>
  <si>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</si>
  <si>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</si>
  <si>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</si>
  <si>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</si>
  <si>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</si>
  <si>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</si>
  <si>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</si>
  <si>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</si>
  <si>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</si>
  <si>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</si>
  <si>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</si>
  <si>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</si>
  <si>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</si>
  <si>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</si>
  <si>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</si>
  <si>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</si>
  <si>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</si>
  <si>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</si>
  <si>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</si>
  <si>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</si>
  <si>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</si>
  <si>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</si>
  <si>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</si>
  <si>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</si>
  <si>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</si>
  <si>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</si>
  <si>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</si>
  <si>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</si>
  <si>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</si>
  <si>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</si>
  <si>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</si>
  <si>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</si>
  <si>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</si>
  <si>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</si>
  <si>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</si>
  <si>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</si>
  <si>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</si>
  <si>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</si>
  <si>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</si>
  <si>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</si>
  <si>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</si>
  <si>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</si>
  <si>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</si>
  <si>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</si>
  <si>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</si>
  <si>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</si>
  <si>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</si>
  <si>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</si>
  <si>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</si>
  <si>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</si>
  <si>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</si>
  <si>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</si>
  <si>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</si>
  <si>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</si>
  <si>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</si>
  <si>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</si>
  <si>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</si>
  <si>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</si>
  <si>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</si>
  <si>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</si>
  <si>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</si>
  <si>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</si>
  <si>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</si>
  <si>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</si>
  <si>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</si>
  <si>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</si>
  <si>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</si>
  <si>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</si>
  <si>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</si>
  <si>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</si>
  <si>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</si>
  <si>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</si>
  <si>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</si>
  <si>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</si>
  <si>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</si>
  <si>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</si>
  <si>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</si>
  <si>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</si>
  <si>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</si>
  <si>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</si>
  <si>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</si>
  <si>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</si>
  <si>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</si>
  <si>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</si>
  <si>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</si>
  <si>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</si>
  <si>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</si>
  <si>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</si>
  <si>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</si>
  <si>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</si>
  <si>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</si>
  <si>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</si>
  <si>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</si>
  <si>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</si>
  <si>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</si>
  <si>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</si>
  <si>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</si>
  <si>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</si>
  <si>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</si>
  <si>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</si>
  <si>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</si>
  <si>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</si>
  <si>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</si>
  <si>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</si>
  <si>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</si>
  <si>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</si>
  <si>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</si>
  <si>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</si>
  <si>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</si>
  <si>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</si>
  <si>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</si>
  <si>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</si>
  <si>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</si>
  <si>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</si>
  <si>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</si>
  <si>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</si>
  <si>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</si>
  <si>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</si>
  <si>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</si>
  <si>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</si>
  <si>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</si>
  <si>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</si>
  <si>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</si>
  <si>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</si>
  <si>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</si>
  <si>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</si>
  <si>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</si>
  <si>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</si>
  <si>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</si>
  <si>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</si>
  <si>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</si>
  <si>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</si>
  <si>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</si>
  <si>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</si>
  <si>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</si>
  <si>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</si>
  <si>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</si>
  <si>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</si>
  <si>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</si>
  <si>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</si>
  <si>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</si>
  <si>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</si>
  <si>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</si>
  <si>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</si>
  <si>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</si>
  <si>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</si>
  <si>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</si>
  <si>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</si>
  <si>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</si>
  <si>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</si>
  <si>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</si>
  <si>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</si>
  <si>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</si>
  <si>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</si>
  <si>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</si>
  <si>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</si>
  <si>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</si>
  <si>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</si>
  <si>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</si>
  <si>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</si>
  <si>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</si>
  <si>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</si>
  <si>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</si>
  <si>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</si>
  <si>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</si>
  <si>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</si>
  <si>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</si>
  <si>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</si>
  <si>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</si>
  <si>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</si>
  <si>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</si>
  <si>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</si>
  <si>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</si>
  <si>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</si>
  <si>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</si>
  <si>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</si>
  <si>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</si>
  <si>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</si>
  <si>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</si>
  <si>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</si>
  <si>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</si>
  <si>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</si>
  <si>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</si>
  <si>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</si>
  <si>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</si>
  <si>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</si>
  <si>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</si>
  <si>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</si>
  <si>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</si>
  <si>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</si>
  <si>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</si>
  <si>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</si>
  <si>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</si>
  <si>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</si>
  <si>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</si>
  <si>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</si>
  <si>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</si>
  <si>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</si>
  <si>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</si>
  <si>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</si>
  <si>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</si>
  <si>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</si>
  <si>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</si>
  <si>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</si>
  <si>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</si>
  <si>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</si>
  <si>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</si>
  <si>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</si>
  <si>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</si>
  <si>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</si>
  <si>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</si>
  <si>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</si>
  <si>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</si>
  <si>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</si>
  <si>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</si>
  <si>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</si>
  <si>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</si>
  <si>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</si>
  <si>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</si>
  <si>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</si>
  <si>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</si>
  <si>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</si>
  <si>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</si>
  <si>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</si>
  <si>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</si>
  <si>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</si>
  <si>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</si>
  <si>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</si>
  <si>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</si>
  <si>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</si>
  <si>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</si>
  <si>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</si>
  <si>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</si>
  <si>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</si>
  <si>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</si>
  <si>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</si>
  <si>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</si>
  <si>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</si>
  <si>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</si>
  <si>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</si>
  <si>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</si>
  <si>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</si>
  <si>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</si>
  <si>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</si>
  <si>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</si>
  <si>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</si>
  <si>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</si>
  <si>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</si>
  <si>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</si>
  <si>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</si>
  <si>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</si>
  <si>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</si>
  <si>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</si>
  <si>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</si>
  <si>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</si>
  <si>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</si>
  <si>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</si>
  <si>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</si>
  <si>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</si>
  <si>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</si>
  <si>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</si>
  <si>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</si>
  <si>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</si>
  <si>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</si>
  <si>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</si>
  <si>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</si>
  <si>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</si>
  <si>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</si>
  <si>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</si>
  <si>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</si>
  <si>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</si>
  <si>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</si>
  <si>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</si>
  <si>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</si>
  <si>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</si>
  <si>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</si>
  <si>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</si>
  <si>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</si>
  <si>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</si>
  <si>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</si>
  <si>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</si>
  <si>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</si>
  <si>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</si>
  <si>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</si>
  <si>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</si>
  <si>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</si>
  <si>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</si>
  <si>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</si>
  <si>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</si>
  <si>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</si>
  <si>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</si>
  <si>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</si>
  <si>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</si>
  <si>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</si>
  <si>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</si>
  <si>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</si>
  <si>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</si>
  <si>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</si>
  <si>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</si>
  <si>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</si>
  <si>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</si>
  <si>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</si>
  <si>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</si>
  <si>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</si>
  <si>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</si>
  <si>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</si>
  <si>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</si>
  <si>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</si>
  <si>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</si>
  <si>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</si>
  <si>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</si>
  <si>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</si>
  <si>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</si>
  <si>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</si>
  <si>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</si>
  <si>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</si>
  <si>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</si>
  <si>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</si>
  <si>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</si>
  <si>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</si>
  <si>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</si>
  <si>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</si>
  <si>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</si>
  <si>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</si>
  <si>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</si>
  <si>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</si>
  <si>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</si>
  <si>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</si>
  <si>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</si>
  <si>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</si>
  <si>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</si>
  <si>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</si>
  <si>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</si>
  <si>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</si>
  <si>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</si>
  <si>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</si>
  <si>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</si>
  <si>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</si>
  <si>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</si>
  <si>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</si>
  <si>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</si>
  <si>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</si>
  <si>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</si>
  <si>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</si>
  <si>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</si>
  <si>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</si>
  <si>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</si>
  <si>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</si>
  <si>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</si>
  <si>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</si>
  <si>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</si>
  <si>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</si>
  <si>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</si>
  <si>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</si>
  <si>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</si>
  <si>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</si>
  <si>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</si>
  <si>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</si>
  <si>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</si>
  <si>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</si>
  <si>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</si>
  <si>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</si>
  <si>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</si>
  <si>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</si>
  <si>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</si>
  <si>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</si>
  <si>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</si>
  <si>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</si>
  <si>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</si>
  <si>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</si>
  <si>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</si>
  <si>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</si>
  <si>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</si>
  <si>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</si>
  <si>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</si>
  <si>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</si>
  <si>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</si>
  <si>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</si>
  <si>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</si>
  <si>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</si>
  <si>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</si>
  <si>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</si>
  <si>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</si>
  <si>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</si>
  <si>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</si>
  <si>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</si>
  <si>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</si>
  <si>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</si>
  <si>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</si>
  <si>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</si>
  <si>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</si>
  <si>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</si>
  <si>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</si>
  <si>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</si>
  <si>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</si>
  <si>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</si>
  <si>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</si>
  <si>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</si>
  <si>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</si>
  <si>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</si>
  <si>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</si>
  <si>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</si>
  <si>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</si>
  <si>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</si>
  <si>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</si>
  <si>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</si>
  <si>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</si>
  <si>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</si>
  <si>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</si>
  <si>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</si>
  <si>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</si>
  <si>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</si>
  <si>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</si>
  <si>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</si>
  <si>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</si>
  <si>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</si>
  <si>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</si>
  <si>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</si>
  <si>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</si>
  <si>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</si>
  <si>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</si>
  <si>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</si>
  <si>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</si>
  <si>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</si>
  <si>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</si>
  <si>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</si>
  <si>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</si>
  <si>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</si>
  <si>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</si>
  <si>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</si>
  <si>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</si>
  <si>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</si>
  <si>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</si>
  <si>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</si>
  <si>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</si>
  <si>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</si>
  <si>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</si>
  <si>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</si>
  <si>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</si>
  <si>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</si>
  <si>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</si>
  <si>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</si>
  <si>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</si>
  <si>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</si>
  <si>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</si>
  <si>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</si>
  <si>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</si>
  <si>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</si>
  <si>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</si>
  <si>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</si>
  <si>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</si>
  <si>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</si>
  <si>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</si>
  <si>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</si>
  <si>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</si>
  <si>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</si>
  <si>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</si>
  <si>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</si>
  <si>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</si>
  <si>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</si>
  <si>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</si>
  <si>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</si>
  <si>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</si>
  <si>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</si>
  <si>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</si>
  <si>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</si>
  <si>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</si>
  <si>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</si>
  <si>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</si>
  <si>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</si>
  <si>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</si>
  <si>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</si>
  <si>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</si>
  <si>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</si>
  <si>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</si>
  <si>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</si>
  <si>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</si>
  <si>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</si>
  <si>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</si>
  <si>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</si>
  <si>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</si>
  <si>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</si>
  <si>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</si>
  <si>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</si>
  <si>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</si>
  <si>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</si>
  <si>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</si>
  <si>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</si>
  <si>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</si>
  <si>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</si>
  <si>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</si>
  <si>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</si>
  <si>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</si>
  <si>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</si>
  <si>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</si>
  <si>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</si>
  <si>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</si>
  <si>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</si>
  <si>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</si>
  <si>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</si>
  <si>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</si>
  <si>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</si>
  <si>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</si>
  <si>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</si>
  <si>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</si>
  <si>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</si>
  <si>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</si>
  <si>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</si>
  <si>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</si>
  <si>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</si>
  <si>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</si>
  <si>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</si>
  <si>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</si>
  <si>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</si>
  <si>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</si>
  <si>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</si>
  <si>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</si>
  <si>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</si>
  <si>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</si>
  <si>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</si>
  <si>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</si>
  <si>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</si>
  <si>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</si>
  <si>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</si>
  <si>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</si>
  <si>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</si>
  <si>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</si>
  <si>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</si>
  <si>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</si>
  <si>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</si>
  <si>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</si>
  <si>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</si>
  <si>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</si>
  <si>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</si>
  <si>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</si>
  <si>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</si>
  <si>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</si>
  <si>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</si>
  <si>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</si>
  <si>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</si>
  <si>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</si>
  <si>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</si>
  <si>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</si>
  <si>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</si>
  <si>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</si>
  <si>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</si>
  <si>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</si>
  <si>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</si>
  <si>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</si>
  <si>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</si>
  <si>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</si>
  <si>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</si>
  <si>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</si>
  <si>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</si>
  <si>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</si>
  <si>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</si>
  <si>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</si>
  <si>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</si>
  <si>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</si>
  <si>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</si>
  <si>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</si>
  <si>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</si>
  <si>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</si>
  <si>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</si>
  <si>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</si>
  <si>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</si>
  <si>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</si>
  <si>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</si>
  <si>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</si>
  <si>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</si>
  <si>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</si>
  <si>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</si>
  <si>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</si>
  <si>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</si>
  <si>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</si>
  <si>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</si>
  <si>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</si>
  <si>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</si>
  <si>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</si>
  <si>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</si>
  <si>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</si>
  <si>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</si>
  <si>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</si>
  <si>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</si>
  <si>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</si>
  <si>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</si>
  <si>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</si>
  <si>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</si>
  <si>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</si>
  <si>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</si>
  <si>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</si>
  <si>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</si>
  <si>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</si>
  <si>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</si>
  <si>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</si>
  <si>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</si>
  <si>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</si>
  <si>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</si>
  <si>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</si>
  <si>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</si>
  <si>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</si>
  <si>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</si>
  <si>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</si>
  <si>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</si>
  <si>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</si>
  <si>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</si>
  <si>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</si>
  <si>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</si>
  <si>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</si>
  <si>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</si>
  <si>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</si>
  <si>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</si>
  <si>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</si>
  <si>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</si>
  <si>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</si>
  <si>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</si>
  <si>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</si>
  <si>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</si>
  <si>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</si>
  <si>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</si>
  <si>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</si>
  <si>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</si>
  <si>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</si>
  <si>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</si>
  <si>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</si>
  <si>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</si>
  <si>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</si>
  <si>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</si>
  <si>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</si>
  <si>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</si>
  <si>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</si>
  <si>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</si>
  <si>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</si>
  <si>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</si>
  <si>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</si>
  <si>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</si>
  <si>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</si>
  <si>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</si>
  <si>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</si>
  <si>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</si>
  <si>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</si>
  <si>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</si>
  <si>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</si>
  <si>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</si>
  <si>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</si>
  <si>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</si>
  <si>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</si>
  <si>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</si>
  <si>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</si>
  <si>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</si>
  <si>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</si>
  <si>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</si>
  <si>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</si>
  <si>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</si>
  <si>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</si>
  <si>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</si>
  <si>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</si>
  <si>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</si>
  <si>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</si>
  <si>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</si>
  <si>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</si>
  <si>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</si>
  <si>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</si>
  <si>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</si>
  <si>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</si>
  <si>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</si>
  <si>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</si>
  <si>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</si>
  <si>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</si>
  <si>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</si>
  <si>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</si>
  <si>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</si>
  <si>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</si>
  <si>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</si>
  <si>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</si>
  <si>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</si>
  <si>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</si>
  <si>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</si>
  <si>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</si>
  <si>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</si>
  <si>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</si>
  <si>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</si>
  <si>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</si>
  <si>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</si>
  <si>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</si>
  <si>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</si>
  <si>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</si>
  <si>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</si>
  <si>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</si>
  <si>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</si>
  <si>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</si>
  <si>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</si>
  <si>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</si>
  <si>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</si>
  <si>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</si>
  <si>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</si>
  <si>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</si>
  <si>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</si>
  <si>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</si>
  <si>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</si>
  <si>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</si>
  <si>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</si>
  <si>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</si>
  <si>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</si>
  <si>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</si>
  <si>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</si>
  <si>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</si>
  <si>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</si>
  <si>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</si>
  <si>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</si>
  <si>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</si>
  <si>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</si>
  <si>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</si>
  <si>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</si>
  <si>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</si>
  <si>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</si>
  <si>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</si>
  <si>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</si>
  <si>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</si>
  <si>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</si>
  <si>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</si>
  <si>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</si>
  <si>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</si>
  <si>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</si>
  <si>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</si>
  <si>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</si>
  <si>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</si>
  <si>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</si>
  <si>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</si>
  <si>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</si>
  <si>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</si>
  <si>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</si>
  <si>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</si>
  <si>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</si>
  <si>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</si>
  <si>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</si>
  <si>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</si>
  <si>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</si>
  <si>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</si>
  <si>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</si>
  <si>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</si>
  <si>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</si>
  <si>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</si>
  <si>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</si>
  <si>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</si>
  <si>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</si>
  <si>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</si>
  <si>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</si>
  <si>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</si>
  <si>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</si>
  <si>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</si>
  <si>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</si>
  <si>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</si>
  <si>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</si>
  <si>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</si>
  <si>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</si>
  <si>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</si>
  <si>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</si>
  <si>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</si>
  <si>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</si>
  <si>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</si>
  <si>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</si>
  <si>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</si>
  <si>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</si>
  <si>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</si>
  <si>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</si>
  <si>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</si>
  <si>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</si>
  <si>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</si>
  <si>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</si>
  <si>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</si>
  <si>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</si>
  <si>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</si>
  <si>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</si>
  <si>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</si>
  <si>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</si>
  <si>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</si>
  <si>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</si>
  <si>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</si>
  <si>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</si>
  <si>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</si>
  <si>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</si>
  <si>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</si>
  <si>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</si>
  <si>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</si>
  <si>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</si>
  <si>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</si>
  <si>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</si>
  <si>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</si>
  <si>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</si>
  <si>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</si>
  <si>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</si>
  <si>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</si>
  <si>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</si>
  <si>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</si>
  <si>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</si>
  <si>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</si>
  <si>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</si>
  <si>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</si>
  <si>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</si>
  <si>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</si>
  <si>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</si>
  <si>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</si>
  <si>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</si>
  <si>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</si>
  <si>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</si>
  <si>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</si>
  <si>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</si>
  <si>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</si>
  <si>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</si>
  <si>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</si>
  <si>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</si>
  <si>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</si>
  <si>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</si>
  <si>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</si>
  <si>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</si>
  <si>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</si>
  <si>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</si>
  <si>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</si>
  <si>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</si>
  <si>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</si>
  <si>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</si>
  <si>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</si>
  <si>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</si>
  <si>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</si>
  <si>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</si>
  <si>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</si>
  <si>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</si>
  <si>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</si>
  <si>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</si>
  <si>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</si>
  <si>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</si>
  <si>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</si>
  <si>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</si>
  <si>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</si>
  <si>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</si>
  <si>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</si>
  <si>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</si>
  <si>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</si>
  <si>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</si>
  <si>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</si>
  <si>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</si>
  <si>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</si>
  <si>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</si>
  <si>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</si>
  <si>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</si>
  <si>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</si>
  <si>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</si>
  <si>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</si>
  <si>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</si>
  <si>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</si>
  <si>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</si>
  <si>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</si>
  <si>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</si>
  <si>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</si>
  <si>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</si>
  <si>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</si>
  <si>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</si>
  <si>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</si>
  <si>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</si>
  <si>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</si>
  <si>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</si>
  <si>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</si>
  <si>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</si>
  <si>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</si>
  <si>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</si>
  <si>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</si>
  <si>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</si>
  <si>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</si>
  <si>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</si>
  <si>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</si>
  <si>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</si>
  <si>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</si>
  <si>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</si>
  <si>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</si>
  <si>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</si>
  <si>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</si>
  <si>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</si>
  <si>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</si>
  <si>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</si>
  <si>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</si>
  <si>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</si>
  <si>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</si>
  <si>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</si>
  <si>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</si>
  <si>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</si>
  <si>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</si>
  <si>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</si>
  <si>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</si>
  <si>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</si>
  <si>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</si>
  <si>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</si>
  <si>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</si>
  <si>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</si>
  <si>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</si>
  <si>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</si>
  <si>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</si>
  <si>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</si>
  <si>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</si>
  <si>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</si>
  <si>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</si>
  <si>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</si>
  <si>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</si>
  <si>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</si>
  <si>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</si>
  <si>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</si>
  <si>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</si>
  <si>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</si>
  <si>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</si>
  <si>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</si>
  <si>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</si>
  <si>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</si>
  <si>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</si>
  <si>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</si>
  <si>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</si>
  <si>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</si>
  <si>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</si>
  <si>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</si>
  <si>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</si>
  <si>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</si>
  <si>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</si>
  <si>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</si>
  <si>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</si>
  <si>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</si>
  <si>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</si>
  <si>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</si>
  <si>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</si>
  <si>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</si>
  <si>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</si>
  <si>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</si>
  <si>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</si>
  <si>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</si>
  <si>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</si>
  <si>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</si>
  <si>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</si>
  <si>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</si>
  <si>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</si>
  <si>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</si>
  <si>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</si>
  <si>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</si>
  <si>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</si>
  <si>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</si>
  <si>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</si>
  <si>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</si>
  <si>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</si>
  <si>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</si>
  <si>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</si>
  <si>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</si>
  <si>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</si>
  <si>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</si>
  <si>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</si>
  <si>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</si>
  <si>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</si>
  <si>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</si>
  <si>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</si>
  <si>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</si>
  <si>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</si>
  <si>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</si>
  <si>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</si>
  <si>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</si>
  <si>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</si>
  <si>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</si>
  <si>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</si>
  <si>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</si>
  <si>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</si>
  <si>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</si>
  <si>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</si>
  <si>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</si>
  <si>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</si>
  <si>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</si>
  <si>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</si>
  <si>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</si>
  <si>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</si>
  <si>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</si>
  <si>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</si>
  <si>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</si>
  <si>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</si>
  <si>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</si>
  <si>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</si>
  <si>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</si>
  <si>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</si>
  <si>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</si>
  <si>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</si>
  <si>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</si>
  <si>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</si>
  <si>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</si>
  <si>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</si>
  <si>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</si>
  <si>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</si>
  <si>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</si>
  <si>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</si>
  <si>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</si>
  <si>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</si>
  <si>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</si>
  <si>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</si>
  <si>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</si>
  <si>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</si>
  <si>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</si>
  <si>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</si>
  <si>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</si>
  <si>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</si>
  <si>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</si>
  <si>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</si>
  <si>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</si>
  <si>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</si>
  <si>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</si>
  <si>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</si>
  <si>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</si>
  <si>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</si>
  <si>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</si>
  <si>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</si>
  <si>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</si>
  <si>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</si>
  <si>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</si>
  <si>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</si>
  <si>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</si>
  <si>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</si>
  <si>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</si>
  <si>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</si>
  <si>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</si>
  <si>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</si>
  <si>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</si>
  <si>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</si>
  <si>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</si>
  <si>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</si>
  <si>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</si>
  <si>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</si>
  <si>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</si>
  <si>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</si>
  <si>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</si>
  <si>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</si>
  <si>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</si>
  <si>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</si>
  <si>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</si>
  <si>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</si>
  <si>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</si>
  <si>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</si>
  <si>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</si>
  <si>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</si>
  <si>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</si>
  <si>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</si>
  <si>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</si>
  <si>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</si>
  <si>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</si>
  <si>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</si>
  <si>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</si>
  <si>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</si>
  <si>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</si>
  <si>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</si>
  <si>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</si>
  <si>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</si>
  <si>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</si>
  <si>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</si>
  <si>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</si>
  <si>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</si>
  <si>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</si>
  <si>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</si>
  <si>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</si>
  <si>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</si>
  <si>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</si>
  <si>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</si>
  <si>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</si>
  <si>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</si>
  <si>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</si>
  <si>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</si>
  <si>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</si>
  <si>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</si>
  <si>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</si>
  <si>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</si>
  <si>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</si>
  <si>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</si>
  <si>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</si>
  <si>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</si>
  <si>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</si>
  <si>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</si>
  <si>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</si>
  <si>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</si>
  <si>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</si>
  <si>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</si>
  <si>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</si>
  <si>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</si>
  <si>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</si>
  <si>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</si>
  <si>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</si>
  <si>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</si>
  <si>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</si>
  <si>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</si>
  <si>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</si>
  <si>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</si>
  <si>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</si>
  <si>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</si>
  <si>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</si>
  <si>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</si>
  <si>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</si>
  <si>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</si>
  <si>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</si>
  <si>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</si>
  <si>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</si>
  <si>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</si>
  <si>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</si>
  <si>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</si>
  <si>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</si>
  <si>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</si>
  <si>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</si>
  <si>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</si>
  <si>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</si>
  <si>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</si>
  <si>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</si>
  <si>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</si>
  <si>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</si>
  <si>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</si>
  <si>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</si>
  <si>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</si>
  <si>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</si>
  <si>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</si>
  <si>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</si>
  <si>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</si>
  <si>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</si>
  <si>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</si>
  <si>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</si>
  <si>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</si>
  <si>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</si>
  <si>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</si>
  <si>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</si>
  <si>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</si>
  <si>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</si>
  <si>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</si>
  <si>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</si>
  <si>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</si>
  <si>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</si>
  <si>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</si>
  <si>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</si>
  <si>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</si>
  <si>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</si>
  <si>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</si>
  <si>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</si>
  <si>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</si>
  <si>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</si>
  <si>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</si>
  <si>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</si>
  <si>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</si>
  <si>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</si>
  <si>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</si>
  <si>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</si>
  <si>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</si>
  <si>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</si>
  <si>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</si>
  <si>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</si>
  <si>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</si>
  <si>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</si>
  <si>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</si>
  <si>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</si>
  <si>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</si>
  <si>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</si>
  <si>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</si>
  <si>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</si>
  <si>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</si>
  <si>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</si>
  <si>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</si>
  <si>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</si>
  <si>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</si>
  <si>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</si>
  <si>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</si>
  <si>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</si>
  <si>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</si>
  <si>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</si>
  <si>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</si>
  <si>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</si>
  <si>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</si>
  <si>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</si>
  <si>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</si>
  <si>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</si>
  <si>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</si>
  <si>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</si>
  <si>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</si>
  <si>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</si>
  <si>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</si>
  <si>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</si>
  <si>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</si>
  <si>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</si>
  <si>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</si>
  <si>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</si>
  <si>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</si>
  <si>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</si>
  <si>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</si>
  <si>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</si>
  <si>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</si>
  <si>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</si>
  <si>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</si>
  <si>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</si>
  <si>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</si>
  <si>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</si>
  <si>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</si>
  <si>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</si>
  <si>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</si>
  <si>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</si>
  <si>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</si>
  <si>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</si>
  <si>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</si>
  <si>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</si>
  <si>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</si>
  <si>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</si>
  <si>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</si>
  <si>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</si>
  <si>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</si>
  <si>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</si>
  <si>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</si>
  <si>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</si>
  <si>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</si>
  <si>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</si>
  <si>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</si>
  <si>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</si>
  <si>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</si>
  <si>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</si>
  <si>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</si>
  <si>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</si>
  <si>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</si>
  <si>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</si>
  <si>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</si>
  <si>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</si>
  <si>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</si>
  <si>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</si>
  <si>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</si>
  <si>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</si>
  <si>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</si>
  <si>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</si>
  <si>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</si>
  <si>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</si>
  <si>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</si>
  <si>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</si>
  <si>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</si>
  <si>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</si>
  <si>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</si>
  <si>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</si>
  <si>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</si>
  <si>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</si>
  <si>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</si>
  <si>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</si>
  <si>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</si>
  <si>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</si>
  <si>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</si>
  <si>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</si>
  <si>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</si>
  <si>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</si>
  <si>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</si>
  <si>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</si>
  <si>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</si>
  <si>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</si>
  <si>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</si>
  <si>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</si>
  <si>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</si>
  <si>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</si>
  <si>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</si>
  <si>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</si>
  <si>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</si>
  <si>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</si>
  <si>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</si>
  <si>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</si>
  <si>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</si>
  <si>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</si>
  <si>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</si>
  <si>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</si>
  <si>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</si>
  <si>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</si>
  <si>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</si>
  <si>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</si>
  <si>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</si>
  <si>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</si>
  <si>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</si>
  <si>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</si>
  <si>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</si>
  <si>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</si>
  <si>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</si>
  <si>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</si>
  <si>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</si>
  <si>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</si>
  <si>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</si>
  <si>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</si>
  <si>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</si>
  <si>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</si>
  <si>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</si>
  <si>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</si>
  <si>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</si>
  <si>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</si>
  <si>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</si>
  <si>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</si>
  <si>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</si>
  <si>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</si>
  <si>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</si>
  <si>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</si>
  <si>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</si>
  <si>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</si>
  <si>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</si>
  <si>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</si>
  <si>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</si>
  <si>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</si>
  <si>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</si>
  <si>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</si>
  <si>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</si>
  <si>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</si>
  <si>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</si>
  <si>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</si>
  <si>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</si>
  <si>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</si>
  <si>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</si>
  <si>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</si>
  <si>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</si>
  <si>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</si>
  <si>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</si>
  <si>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</si>
  <si>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</si>
  <si>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</si>
  <si>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</si>
  <si>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</si>
  <si>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</si>
  <si>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</si>
  <si>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</si>
  <si>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</si>
  <si>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</si>
  <si>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</si>
  <si>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</si>
  <si>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</si>
  <si>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</si>
  <si>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</si>
  <si>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</si>
  <si>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</si>
  <si>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</si>
  <si>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</si>
  <si>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</si>
  <si>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</si>
  <si>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</si>
  <si>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</si>
  <si>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</si>
  <si>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</si>
  <si>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</si>
  <si>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</si>
  <si>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</si>
  <si>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</si>
  <si>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</si>
  <si>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</si>
  <si>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</si>
  <si>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</si>
  <si>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</si>
  <si>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</si>
  <si>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</si>
  <si>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</si>
  <si>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</si>
  <si>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</si>
  <si>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</si>
  <si>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</si>
  <si>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</si>
  <si>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</si>
  <si>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</si>
  <si>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</si>
  <si>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</si>
  <si>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</si>
  <si>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</si>
  <si>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</si>
  <si>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</si>
  <si>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</si>
  <si>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</si>
  <si>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</si>
  <si>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</si>
  <si>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</si>
  <si>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</si>
  <si>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</si>
  <si>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</si>
  <si>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</si>
  <si>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</si>
  <si>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</si>
  <si>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</si>
  <si>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</si>
  <si>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</si>
  <si>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</si>
  <si>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</si>
  <si>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</si>
  <si>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</si>
  <si>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</si>
  <si>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</si>
  <si>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</si>
  <si>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</si>
  <si>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</si>
  <si>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</si>
  <si>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</si>
  <si>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</si>
  <si>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</si>
  <si>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</si>
  <si>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</si>
  <si>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</si>
  <si>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</si>
  <si>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</si>
  <si>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</si>
  <si>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</si>
  <si>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</si>
  <si>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</si>
  <si>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</si>
  <si>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</si>
  <si>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</si>
  <si>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</si>
  <si>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</si>
  <si>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</si>
  <si>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</si>
  <si>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</si>
  <si>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</si>
  <si>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</si>
  <si>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</si>
  <si>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</si>
  <si>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</si>
  <si>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</si>
  <si>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</si>
  <si>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</si>
  <si>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</si>
  <si>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</si>
  <si>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</si>
  <si>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</si>
  <si>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</si>
  <si>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</si>
  <si>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</si>
  <si>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</si>
  <si>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</si>
  <si>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</si>
  <si>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</si>
  <si>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</si>
  <si>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</si>
  <si>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</si>
  <si>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</si>
  <si>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</si>
  <si>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</si>
  <si>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</si>
  <si>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</si>
  <si>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</si>
  <si>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</si>
  <si>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</si>
  <si>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</si>
  <si>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</si>
  <si>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</si>
  <si>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</si>
  <si>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</si>
  <si>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</si>
  <si>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</si>
  <si>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</si>
  <si>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</si>
  <si>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</si>
  <si>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</si>
  <si>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</si>
  <si>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</si>
  <si>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</si>
  <si>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</si>
  <si>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</si>
  <si>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</si>
  <si>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</si>
  <si>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</si>
  <si>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</si>
  <si>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</si>
  <si>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</si>
  <si>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</si>
  <si>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</si>
  <si>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</si>
  <si>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</si>
  <si>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</si>
  <si>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</si>
  <si>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</si>
  <si>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</si>
  <si>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</si>
  <si>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</si>
  <si>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</si>
  <si>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</si>
  <si>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</si>
  <si>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</si>
  <si>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</si>
  <si>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</si>
  <si>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</si>
  <si>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</si>
  <si>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</si>
  <si>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</si>
  <si>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</si>
  <si>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</si>
  <si>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</si>
  <si>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</si>
  <si>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</si>
  <si>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</si>
  <si>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</si>
  <si>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</si>
  <si>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</si>
  <si>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</si>
  <si>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</si>
  <si>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</si>
  <si>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</si>
  <si>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</si>
  <si>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</si>
  <si>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</si>
  <si>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</si>
  <si>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</si>
  <si>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</si>
  <si>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</si>
  <si>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</si>
  <si>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</si>
  <si>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</si>
  <si>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</si>
  <si>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</si>
  <si>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</si>
  <si>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</si>
  <si>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</si>
  <si>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</si>
  <si>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</si>
  <si>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</si>
  <si>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</si>
  <si>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</si>
  <si>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</si>
  <si>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</si>
  <si>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</si>
  <si>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</si>
  <si>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</si>
  <si>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</si>
  <si>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</si>
  <si>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</si>
  <si>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</si>
  <si>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</si>
  <si>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</si>
  <si>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</si>
  <si>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</si>
  <si>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</si>
  <si>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</si>
  <si>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</si>
  <si>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</si>
  <si>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</si>
  <si>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</si>
  <si>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</si>
  <si>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</si>
  <si>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</si>
  <si>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</si>
  <si>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</si>
  <si>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</si>
  <si>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</si>
  <si>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</si>
  <si>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</si>
  <si>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</si>
  <si>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</si>
  <si>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</si>
  <si>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</si>
  <si>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</si>
  <si>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</si>
  <si>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</si>
  <si>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</si>
  <si>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</si>
  <si>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</si>
  <si>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</si>
  <si>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</si>
  <si>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</si>
  <si>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</si>
  <si>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</si>
  <si>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</si>
  <si>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</si>
  <si>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</si>
  <si>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</si>
  <si>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</si>
  <si>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</si>
  <si>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</si>
  <si>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</si>
  <si>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</si>
  <si>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</si>
  <si>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</si>
  <si>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</si>
  <si>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</si>
  <si>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</si>
  <si>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</si>
  <si>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</si>
  <si>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</si>
  <si>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</si>
  <si>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</si>
  <si>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</si>
  <si>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</si>
  <si>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</si>
  <si>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</si>
  <si>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</si>
  <si>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</si>
  <si>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</si>
  <si>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</si>
  <si>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</si>
  <si>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</si>
  <si>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</si>
  <si>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</si>
  <si>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</si>
  <si>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</si>
  <si>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</si>
  <si>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</si>
  <si>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</si>
  <si>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</si>
  <si>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</si>
  <si>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</si>
  <si>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</si>
  <si>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</si>
  <si>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</si>
  <si>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</si>
  <si>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</si>
  <si>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</si>
  <si>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</si>
  <si>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</si>
  <si>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</si>
  <si>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</si>
  <si>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</si>
  <si>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</si>
  <si>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</si>
  <si>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</si>
  <si>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</si>
  <si>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</si>
  <si>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</si>
  <si>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</si>
  <si>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</si>
  <si>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</si>
  <si>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</si>
  <si>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</si>
  <si>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</si>
  <si>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</si>
  <si>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</si>
  <si>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</si>
  <si>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</si>
  <si>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</si>
  <si>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</si>
  <si>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</si>
  <si>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</si>
  <si>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</si>
  <si>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</si>
  <si>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</si>
  <si>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</si>
  <si>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</si>
  <si>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</si>
  <si>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</si>
  <si>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</si>
  <si>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</si>
  <si>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</si>
  <si>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</si>
  <si>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</si>
  <si>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</si>
  <si>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</si>
  <si>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</si>
  <si>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</si>
  <si>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</si>
  <si>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</si>
  <si>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</si>
  <si>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</si>
  <si>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</si>
  <si>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</si>
  <si>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</si>
  <si>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</si>
  <si>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</si>
  <si>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</si>
  <si>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</si>
  <si>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</si>
  <si>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</si>
  <si>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</si>
  <si>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</si>
  <si>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</si>
  <si>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</si>
  <si>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</si>
  <si>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</si>
  <si>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</si>
  <si>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</si>
  <si>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</si>
  <si>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</si>
  <si>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</si>
  <si>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</si>
  <si>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</si>
  <si>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</si>
  <si>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</si>
  <si>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</si>
  <si>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</si>
  <si>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</si>
  <si>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</si>
  <si>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</si>
  <si>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</si>
  <si>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</si>
  <si>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</si>
  <si>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</si>
  <si>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</si>
  <si>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</si>
  <si>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</si>
  <si>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</si>
  <si>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</si>
  <si>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</si>
  <si>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</si>
  <si>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</si>
  <si>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</si>
  <si>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</si>
  <si>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</si>
  <si>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</si>
  <si>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</si>
  <si>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</si>
  <si>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</si>
  <si>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</si>
  <si>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</si>
  <si>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</si>
  <si>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</si>
  <si>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</si>
  <si>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</si>
  <si>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</si>
  <si>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</si>
  <si>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</si>
  <si>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</si>
  <si>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</si>
  <si>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</si>
  <si>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</si>
  <si>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</si>
  <si>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</si>
  <si>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</si>
  <si>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</si>
  <si>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</si>
  <si>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</si>
  <si>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</si>
  <si>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</si>
  <si>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</si>
  <si>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</si>
  <si>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</si>
  <si>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</si>
  <si>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</si>
  <si>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</si>
  <si>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</si>
  <si>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</si>
  <si>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</si>
  <si>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</si>
  <si>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</si>
  <si>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</si>
  <si>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</si>
  <si>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</si>
  <si>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</si>
  <si>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</si>
  <si>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</si>
  <si>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</si>
  <si>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</si>
  <si>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</si>
  <si>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</si>
  <si>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</si>
  <si>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</si>
  <si>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</si>
  <si>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</si>
  <si>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</si>
  <si>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</si>
  <si>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</si>
  <si>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</si>
  <si>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</si>
  <si>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</si>
  <si>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</si>
  <si>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</si>
  <si>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</si>
  <si>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</si>
  <si>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</si>
  <si>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</si>
  <si>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</si>
  <si>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</si>
  <si>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</si>
  <si>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</si>
  <si>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</si>
  <si>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</si>
  <si>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</si>
  <si>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</si>
  <si>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</si>
  <si>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</si>
  <si>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</si>
  <si>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</si>
  <si>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</si>
  <si>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</si>
  <si>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</si>
  <si>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</si>
  <si>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</si>
  <si>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</si>
  <si>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</si>
  <si>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</si>
  <si>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</si>
  <si>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</si>
  <si>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</si>
  <si>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</si>
  <si>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</si>
  <si>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</si>
  <si>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</si>
  <si>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</si>
  <si>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</si>
  <si>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</si>
  <si>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</si>
  <si>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</si>
  <si>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</si>
  <si>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</si>
  <si>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</si>
  <si>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</si>
  <si>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</si>
  <si>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</si>
  <si>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</si>
  <si>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</si>
  <si>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</si>
  <si>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</si>
  <si>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</si>
  <si>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</si>
  <si>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</si>
  <si>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</si>
  <si>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</si>
  <si>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</si>
  <si>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</si>
  <si>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</si>
  <si>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</si>
  <si>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</si>
  <si>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</si>
  <si>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</si>
  <si>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</si>
  <si>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</si>
  <si>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</si>
  <si>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</si>
  <si>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</si>
  <si>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</si>
  <si>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</si>
  <si>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</si>
  <si>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</si>
  <si>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</si>
  <si>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</si>
  <si>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</si>
  <si>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</si>
  <si>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</si>
  <si>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</si>
  <si>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</si>
  <si>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</si>
  <si>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</si>
  <si>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</si>
  <si>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</si>
  <si>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</si>
  <si>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</si>
  <si>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</si>
  <si>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</si>
  <si>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</si>
  <si>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</si>
  <si>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</si>
  <si>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</si>
  <si>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</si>
  <si>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</si>
  <si>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</si>
  <si>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</si>
  <si>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</si>
  <si>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</si>
  <si>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</si>
  <si>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</si>
  <si>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</si>
  <si>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</si>
  <si>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</si>
  <si>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</si>
  <si>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</si>
  <si>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</si>
  <si>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</si>
  <si>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</si>
  <si>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</si>
  <si>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</si>
  <si>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</si>
  <si>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</si>
  <si>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</si>
  <si>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</si>
  <si>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</si>
  <si>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</si>
  <si>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</si>
  <si>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</si>
  <si>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</si>
  <si>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</si>
  <si>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</si>
  <si>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</si>
  <si>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</si>
  <si>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</si>
  <si>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</si>
  <si>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</si>
  <si>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</si>
  <si>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</si>
  <si>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</si>
  <si>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</si>
  <si>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</si>
  <si>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</si>
  <si>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</si>
  <si>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</si>
  <si>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</si>
  <si>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</si>
  <si>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</si>
  <si>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</si>
  <si>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</si>
  <si>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</si>
  <si>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</si>
  <si>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</si>
  <si>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</si>
  <si>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</si>
  <si>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</si>
  <si>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</si>
  <si>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</si>
  <si>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</si>
  <si>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</si>
  <si>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</si>
  <si>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</si>
  <si>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</si>
  <si>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</si>
  <si>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</si>
  <si>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</si>
  <si>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</si>
  <si>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</si>
  <si>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</si>
  <si>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</si>
  <si>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</si>
  <si>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</si>
  <si>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</si>
  <si>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</si>
  <si>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</si>
  <si>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</si>
  <si>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</si>
  <si>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</si>
  <si>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</si>
  <si>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</si>
  <si>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</si>
  <si>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</si>
  <si>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</si>
  <si>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</si>
  <si>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</si>
  <si>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</si>
  <si>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</si>
  <si>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</si>
  <si>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</si>
  <si>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</si>
  <si>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</si>
  <si>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</si>
  <si>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</si>
  <si>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</si>
  <si>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</si>
  <si>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</si>
  <si>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</si>
  <si>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</si>
  <si>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</si>
  <si>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</si>
  <si>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</si>
  <si>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</si>
  <si>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</si>
  <si>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</si>
  <si>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</si>
  <si>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</si>
  <si>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</si>
  <si>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</si>
  <si>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</si>
  <si>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</si>
  <si>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</si>
  <si>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</si>
  <si>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</si>
  <si>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</si>
  <si>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</si>
  <si>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</si>
  <si>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</si>
  <si>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</si>
  <si>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</si>
  <si>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</si>
  <si>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</si>
  <si>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</si>
  <si>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</si>
  <si>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</si>
  <si>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</si>
  <si>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</si>
  <si>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</si>
  <si>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</si>
  <si>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</si>
  <si>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</si>
  <si>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</si>
  <si>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</si>
  <si>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</si>
  <si>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</si>
  <si>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</si>
  <si>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</si>
  <si>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</si>
  <si>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</si>
  <si>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</si>
  <si>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</si>
  <si>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</si>
  <si>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</si>
  <si>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</si>
  <si>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</si>
  <si>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</si>
  <si>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</si>
  <si>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</si>
  <si>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</si>
  <si>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</si>
  <si>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</si>
  <si>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</si>
  <si>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</si>
  <si>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</si>
  <si>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</si>
  <si>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</si>
  <si>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</si>
  <si>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</si>
  <si>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</si>
  <si>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</si>
  <si>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</si>
  <si>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</si>
  <si>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</si>
  <si>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</si>
  <si>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</si>
  <si>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</si>
  <si>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</si>
  <si>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</si>
  <si>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</si>
  <si>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</si>
  <si>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</si>
  <si>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</si>
  <si>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</si>
  <si>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</si>
  <si>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</si>
  <si>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</si>
  <si>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</si>
  <si>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</si>
  <si>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</si>
  <si>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</si>
  <si>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</si>
  <si>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</si>
  <si>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</si>
  <si>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</si>
  <si>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</si>
  <si>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</si>
  <si>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</si>
  <si>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</si>
  <si>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</si>
  <si>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</si>
  <si>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</si>
  <si>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</si>
  <si>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</si>
  <si>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</si>
  <si>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</si>
  <si>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</si>
  <si>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</si>
  <si>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</si>
  <si>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</si>
  <si>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</si>
  <si>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</si>
  <si>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</si>
  <si>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</si>
  <si>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</si>
  <si>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</si>
  <si>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</si>
  <si>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</si>
  <si>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</si>
  <si>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</si>
  <si>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</si>
  <si>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</si>
  <si>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</si>
  <si>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</si>
  <si>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</si>
  <si>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</si>
  <si>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</si>
  <si>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</si>
  <si>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</si>
  <si>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</si>
  <si>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</si>
  <si>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</si>
  <si>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</si>
  <si>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</si>
  <si>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</si>
  <si>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</si>
  <si>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</si>
  <si>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</si>
  <si>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</si>
  <si>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</si>
  <si>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</si>
  <si>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</si>
  <si>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</si>
  <si>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</si>
  <si>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</si>
  <si>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</si>
  <si>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</si>
  <si>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</si>
  <si>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</si>
  <si>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</si>
  <si>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</si>
  <si>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</si>
  <si>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</si>
  <si>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</si>
  <si>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</si>
  <si>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</si>
  <si>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</si>
  <si>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</si>
  <si>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</si>
  <si>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</si>
  <si>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</si>
  <si>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</si>
  <si>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</si>
  <si>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</si>
  <si>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</si>
  <si>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</si>
  <si>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</si>
  <si>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</si>
  <si>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</si>
  <si>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</si>
  <si>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</si>
  <si>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</si>
  <si>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</si>
  <si>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</si>
  <si>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</si>
  <si>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</si>
  <si>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</si>
  <si>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</si>
  <si>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</si>
  <si>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</si>
  <si>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</si>
  <si>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</si>
  <si>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</si>
  <si>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</si>
  <si>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</si>
  <si>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</si>
  <si>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</si>
  <si>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</si>
  <si>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</si>
  <si>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</si>
  <si>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</si>
  <si>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</si>
  <si>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</si>
  <si>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</si>
  <si>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</si>
  <si>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</si>
  <si>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</si>
  <si>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</si>
  <si>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</si>
  <si>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</si>
  <si>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</si>
  <si>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</si>
  <si>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</si>
  <si>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</si>
  <si>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</si>
  <si>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</si>
  <si>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</si>
  <si>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</si>
  <si>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</si>
  <si>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</si>
  <si>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</si>
  <si>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</si>
  <si>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</si>
  <si>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</si>
  <si>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</si>
  <si>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</si>
  <si>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</si>
  <si>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</si>
  <si>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</si>
  <si>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</si>
  <si>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</si>
  <si>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</si>
  <si>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</si>
  <si>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</si>
  <si>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</si>
  <si>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</si>
  <si>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</si>
  <si>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</si>
  <si>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</si>
  <si>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</si>
  <si>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</si>
  <si>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</si>
  <si>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</si>
  <si>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</si>
  <si>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</si>
  <si>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</si>
  <si>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</si>
  <si>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</si>
  <si>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</si>
  <si>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</si>
  <si>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</si>
  <si>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</si>
  <si>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</si>
  <si>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</si>
  <si>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</si>
  <si>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</si>
  <si>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</si>
  <si>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</si>
  <si>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</si>
  <si>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</si>
  <si>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</si>
  <si>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</si>
  <si>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</si>
  <si>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</si>
  <si>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</si>
  <si>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</si>
  <si>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</si>
  <si>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</si>
  <si>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</si>
  <si>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</si>
  <si>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</si>
  <si>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</si>
  <si>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</si>
  <si>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</si>
  <si>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</si>
  <si>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</si>
  <si>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</si>
  <si>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</si>
  <si>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</si>
  <si>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</si>
  <si>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</si>
  <si>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</si>
  <si>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</si>
  <si>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</si>
  <si>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</si>
  <si>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</si>
  <si>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</si>
  <si>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</si>
  <si>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</si>
  <si>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</si>
  <si>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</si>
  <si>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</si>
  <si>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</si>
  <si>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</si>
  <si>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</si>
  <si>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</si>
  <si>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</si>
  <si>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</si>
  <si>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</si>
  <si>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</si>
  <si>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</si>
  <si>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</si>
  <si>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</si>
  <si>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</si>
  <si>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</si>
  <si>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</si>
  <si>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</si>
  <si>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</si>
  <si>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</si>
  <si>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</si>
  <si>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</si>
  <si>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</si>
  <si>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</si>
  <si>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</si>
  <si>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</si>
  <si>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</si>
  <si>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</si>
  <si>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</si>
  <si>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</si>
  <si>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</si>
  <si>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</si>
  <si>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</si>
  <si>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</si>
  <si>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</si>
  <si>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</si>
  <si>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</si>
  <si>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</si>
  <si>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</si>
  <si>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</si>
  <si>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</si>
  <si>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</si>
  <si>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</si>
  <si>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</si>
  <si>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</si>
  <si>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</si>
  <si>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</si>
  <si>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</si>
  <si>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</si>
  <si>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</si>
  <si>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</si>
  <si>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</si>
  <si>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</si>
  <si>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</si>
  <si>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</si>
  <si>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</si>
  <si>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</si>
  <si>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</si>
  <si>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</si>
  <si>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</si>
  <si>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</si>
  <si>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</si>
  <si>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</si>
  <si>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</si>
  <si>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</si>
  <si>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</si>
  <si>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</si>
  <si>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</si>
  <si>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</si>
  <si>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</si>
  <si>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</si>
  <si>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</si>
  <si>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</si>
  <si>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</si>
  <si>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</si>
  <si>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</si>
  <si>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</si>
  <si>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</si>
  <si>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</si>
  <si>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</si>
  <si>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</si>
  <si>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</si>
  <si>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</si>
  <si>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</si>
  <si>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</si>
  <si>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</si>
  <si>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</si>
  <si>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</si>
  <si>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</si>
  <si>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</si>
  <si>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</si>
  <si>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</si>
  <si>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</si>
  <si>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</si>
  <si>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</si>
  <si>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</si>
  <si>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</si>
  <si>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</si>
  <si>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</si>
  <si>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</si>
  <si>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</si>
  <si>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</si>
  <si>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</si>
  <si>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</si>
  <si>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</si>
  <si>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</si>
  <si>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</si>
  <si>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</si>
  <si>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</si>
  <si>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</si>
  <si>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</si>
  <si>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</si>
  <si>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</si>
  <si>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</si>
  <si>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</si>
  <si>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</si>
  <si>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</si>
  <si>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</si>
  <si>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</si>
  <si>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</si>
  <si>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</si>
  <si>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</si>
  <si>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</si>
  <si>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</si>
  <si>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</si>
  <si>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</si>
  <si>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</si>
  <si>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</si>
  <si>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</si>
  <si>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</si>
  <si>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</si>
  <si>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</si>
  <si>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</si>
  <si>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</si>
  <si>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</si>
  <si>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</si>
  <si>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</si>
  <si>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</si>
  <si>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</si>
  <si>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</si>
  <si>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</si>
  <si>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</si>
  <si>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</si>
  <si>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</si>
  <si>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</si>
  <si>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</si>
  <si>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</si>
  <si>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</si>
  <si>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</si>
  <si>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</si>
  <si>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</si>
  <si>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</si>
  <si>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</si>
  <si>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</si>
  <si>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</si>
  <si>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</si>
  <si>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</si>
  <si>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</si>
  <si>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</si>
  <si>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</si>
  <si>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</si>
  <si>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</si>
  <si>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</si>
  <si>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</si>
  <si>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</si>
  <si>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</si>
  <si>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</si>
  <si>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</si>
  <si>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</si>
  <si>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</si>
  <si>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</si>
  <si>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</si>
  <si>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</si>
  <si>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</si>
  <si>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</si>
  <si>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</si>
  <si>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</si>
  <si>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</si>
  <si>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</si>
  <si>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</si>
  <si>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</si>
  <si>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</si>
  <si>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</si>
  <si>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</si>
  <si>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</si>
  <si>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</si>
  <si>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</si>
  <si>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</si>
  <si>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</si>
  <si>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</si>
  <si>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</si>
  <si>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</si>
  <si>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</si>
  <si>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</si>
  <si>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</si>
  <si>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</si>
  <si>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</si>
  <si>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</si>
  <si>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</si>
  <si>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</si>
  <si>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</si>
  <si>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</si>
  <si>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</si>
  <si>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</si>
  <si>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</si>
  <si>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</si>
  <si>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</si>
  <si>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</si>
  <si>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</si>
  <si>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</si>
  <si>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</si>
  <si>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</si>
  <si>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</si>
  <si>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</si>
  <si>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</si>
  <si>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</si>
  <si>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</si>
  <si>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</si>
  <si>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</si>
  <si>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</si>
  <si>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</si>
  <si>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</si>
  <si>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</si>
  <si>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</si>
  <si>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</si>
  <si>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</si>
  <si>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</si>
  <si>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</si>
  <si>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</si>
  <si>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</si>
  <si>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</si>
  <si>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</si>
  <si>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</si>
  <si>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</si>
  <si>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</si>
  <si>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</si>
  <si>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</si>
  <si>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</si>
  <si>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</si>
  <si>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</si>
  <si>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</si>
  <si>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</si>
  <si>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</si>
  <si>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</si>
  <si>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</si>
  <si>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</si>
  <si>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</si>
  <si>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</si>
  <si>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</si>
  <si>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</si>
  <si>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</si>
  <si>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</si>
  <si>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</si>
  <si>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</si>
  <si>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</si>
  <si>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</si>
  <si>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</si>
  <si>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</si>
  <si>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</si>
  <si>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</si>
  <si>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</si>
  <si>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</si>
  <si>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</si>
  <si>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</si>
  <si>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</si>
  <si>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</si>
  <si>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</si>
  <si>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</si>
  <si>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</si>
  <si>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</si>
  <si>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</si>
  <si>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</si>
  <si>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</si>
  <si>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</si>
  <si>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</si>
  <si>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</si>
  <si>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</si>
  <si>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</si>
  <si>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</si>
  <si>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</si>
  <si>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</si>
  <si>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</si>
  <si>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</si>
  <si>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</si>
  <si>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</si>
  <si>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</si>
  <si>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</si>
  <si>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</si>
  <si>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</si>
  <si>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</si>
  <si>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</si>
  <si>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</si>
  <si>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</si>
  <si>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</si>
  <si>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</si>
  <si>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</si>
  <si>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</si>
  <si>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</si>
  <si>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</si>
  <si>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</si>
  <si>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</si>
  <si>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</si>
  <si>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</si>
  <si>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</si>
  <si>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</si>
  <si>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</si>
  <si>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</si>
  <si>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</si>
  <si>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</si>
  <si>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</si>
  <si>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</si>
  <si>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</si>
  <si>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</si>
  <si>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</si>
  <si>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</si>
  <si>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</si>
  <si>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</si>
  <si>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</si>
  <si>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</si>
  <si>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</si>
  <si>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</si>
  <si>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</si>
  <si>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</si>
  <si>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</si>
  <si>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</si>
  <si>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</si>
  <si>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</si>
  <si>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</si>
  <si>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</si>
  <si>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</si>
  <si>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</si>
  <si>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</si>
  <si>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</si>
  <si>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</si>
  <si>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</si>
  <si>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</si>
  <si>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</si>
  <si>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</si>
  <si>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</si>
  <si>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</si>
  <si>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</si>
  <si>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</si>
  <si>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</si>
  <si>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</si>
  <si>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</si>
  <si>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</si>
  <si>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</si>
  <si>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</si>
  <si>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</si>
  <si>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</si>
  <si>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</si>
  <si>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</si>
  <si>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</si>
  <si>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</si>
  <si>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</si>
  <si>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</si>
  <si>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</si>
  <si>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</si>
  <si>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</si>
  <si>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</si>
  <si>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</si>
  <si>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</si>
  <si>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</si>
  <si>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</si>
  <si>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</si>
  <si>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</si>
  <si>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</si>
  <si>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</si>
  <si>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</si>
  <si>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</si>
  <si>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</si>
  <si>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</si>
  <si>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</si>
  <si>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</si>
  <si>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</si>
  <si>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</si>
  <si>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</si>
  <si>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</si>
  <si>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</si>
  <si>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</si>
  <si>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</si>
  <si>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</si>
  <si>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</si>
  <si>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</si>
  <si>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</si>
  <si>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</si>
  <si>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</si>
  <si>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</si>
  <si>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</si>
  <si>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</si>
  <si>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</si>
  <si>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</si>
  <si>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</si>
  <si>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</si>
  <si>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</si>
  <si>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</si>
  <si>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</si>
  <si>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</si>
  <si>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</si>
  <si>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</si>
  <si>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</si>
  <si>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</si>
  <si>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</si>
  <si>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</si>
  <si>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</si>
  <si>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</si>
  <si>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</si>
  <si>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</si>
  <si>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</si>
  <si>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</si>
  <si>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</si>
  <si>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</si>
  <si>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</si>
  <si>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</si>
  <si>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</si>
  <si>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</si>
  <si>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</si>
  <si>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</si>
  <si>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</si>
  <si>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</si>
  <si>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</si>
  <si>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</si>
  <si>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</si>
  <si>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</si>
  <si>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</si>
  <si>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</si>
  <si>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</si>
  <si>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</si>
  <si>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</si>
  <si>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</si>
  <si>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</si>
  <si>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</si>
  <si>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</si>
  <si>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</si>
  <si>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</si>
  <si>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</si>
  <si>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</si>
  <si>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</si>
  <si>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</si>
  <si>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</si>
  <si>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</si>
  <si>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</si>
  <si>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</si>
  <si>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</si>
  <si>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</si>
  <si>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</si>
  <si>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</si>
  <si>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</si>
  <si>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</si>
  <si>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</si>
  <si>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</si>
  <si>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</si>
  <si>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</si>
  <si>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</si>
  <si>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</si>
  <si>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</si>
  <si>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</si>
  <si>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</si>
  <si>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</si>
  <si>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</si>
  <si>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</si>
  <si>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</si>
  <si>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</si>
  <si>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</si>
  <si>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</si>
  <si>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</si>
  <si>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</si>
  <si>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</si>
  <si>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</si>
  <si>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</si>
  <si>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</si>
  <si>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</si>
  <si>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</si>
  <si>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</si>
  <si>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</si>
  <si>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</si>
  <si>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</si>
  <si>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</si>
  <si>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</si>
  <si>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</si>
  <si>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</si>
  <si>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</si>
  <si>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</si>
  <si>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</si>
  <si>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</si>
  <si>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</si>
  <si>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</si>
  <si>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</si>
  <si>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</si>
  <si>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</si>
  <si>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</si>
  <si>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</si>
  <si>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</si>
  <si>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</si>
  <si>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</si>
  <si>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</si>
  <si>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</si>
  <si>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</si>
  <si>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</si>
  <si>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</si>
  <si>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</si>
  <si>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</si>
  <si>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</si>
  <si>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</si>
  <si>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</si>
  <si>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</si>
  <si>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</si>
  <si>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</si>
  <si>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</si>
  <si>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</si>
  <si>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</si>
  <si>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</si>
  <si>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</si>
  <si>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</si>
  <si>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</si>
  <si>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</si>
  <si>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</si>
  <si>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</si>
  <si>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</si>
  <si>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</si>
  <si>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</si>
  <si>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</si>
  <si>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</si>
  <si>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</si>
  <si>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</si>
  <si>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</si>
  <si>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</si>
  <si>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</si>
  <si>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</si>
  <si>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</si>
  <si>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</si>
  <si>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</si>
  <si>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</si>
  <si>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</si>
  <si>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</si>
  <si>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</si>
  <si>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</si>
  <si>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</si>
  <si>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</si>
  <si>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</si>
  <si>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</si>
  <si>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</si>
  <si>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</si>
  <si>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</si>
  <si>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</si>
  <si>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</si>
  <si>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</si>
  <si>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</si>
  <si>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</si>
  <si>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</si>
  <si>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</si>
  <si>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</si>
  <si>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</si>
  <si>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</si>
  <si>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</si>
  <si>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</si>
  <si>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</si>
  <si>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</si>
  <si>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</si>
  <si>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</si>
  <si>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</si>
  <si>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</si>
  <si>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</si>
  <si>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</si>
  <si>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</si>
  <si>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</si>
  <si>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</si>
  <si>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</si>
  <si>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</si>
  <si>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</si>
  <si>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</si>
  <si>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</si>
  <si>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</si>
  <si>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</si>
  <si>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</si>
  <si>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</si>
  <si>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</si>
  <si>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</si>
  <si>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</si>
  <si>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</si>
  <si>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</si>
  <si>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</si>
  <si>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</si>
  <si>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</si>
  <si>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</si>
  <si>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</si>
  <si>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</si>
  <si>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</si>
  <si>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</si>
  <si>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</si>
  <si>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</si>
  <si>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</si>
  <si>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</si>
  <si>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</si>
  <si>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</si>
  <si>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</si>
  <si>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</si>
  <si>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</si>
  <si>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</si>
  <si>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</si>
  <si>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</si>
  <si>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</si>
  <si>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</si>
  <si>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</si>
  <si>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</si>
  <si>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</si>
  <si>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</si>
  <si>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</si>
  <si>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</si>
  <si>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</si>
  <si>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</si>
  <si>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</si>
  <si>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</si>
  <si>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</si>
  <si>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</si>
  <si>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</si>
  <si>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</si>
  <si>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</si>
  <si>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</si>
  <si>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</si>
  <si>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</si>
  <si>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</si>
  <si>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</si>
  <si>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</si>
  <si>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</si>
  <si>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</si>
  <si>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</si>
  <si>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</si>
  <si>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</si>
  <si>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</si>
  <si>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</si>
  <si>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</si>
  <si>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</si>
  <si>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</si>
  <si>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</si>
  <si>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</si>
  <si>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</si>
  <si>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</si>
  <si>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</si>
  <si>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</si>
  <si>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</si>
  <si>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</si>
  <si>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</si>
  <si>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</si>
  <si>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</si>
  <si>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</si>
  <si>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</si>
  <si>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</si>
  <si>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</si>
  <si>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</si>
  <si>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</si>
  <si>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</si>
  <si>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</si>
  <si>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</si>
  <si>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</si>
  <si>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</si>
  <si>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</si>
  <si>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</si>
  <si>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</si>
  <si>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</si>
  <si>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</si>
  <si>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</si>
  <si>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</si>
  <si>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</si>
  <si>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</si>
  <si>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</si>
  <si>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</si>
  <si>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</si>
  <si>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</si>
  <si>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</si>
  <si>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</si>
  <si>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</si>
  <si>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</si>
  <si>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</si>
  <si>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</si>
  <si>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</si>
  <si>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</si>
  <si>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</si>
  <si>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</si>
  <si>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</si>
  <si>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</si>
  <si>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</si>
  <si>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</si>
  <si>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</si>
  <si>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</si>
  <si>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</si>
  <si>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</si>
  <si>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</si>
  <si>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</si>
  <si>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</si>
  <si>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</si>
  <si>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</si>
  <si>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</si>
  <si>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</si>
  <si>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</si>
  <si>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</si>
  <si>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</si>
  <si>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</si>
  <si>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</si>
  <si>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</si>
  <si>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</si>
  <si>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</si>
  <si>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</si>
  <si>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</si>
  <si>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</si>
  <si>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</si>
  <si>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</si>
  <si>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</si>
  <si>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</si>
  <si>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</si>
  <si>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</si>
  <si>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</si>
  <si>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</si>
  <si>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</si>
  <si>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</si>
  <si>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</si>
  <si>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</si>
  <si>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</si>
  <si>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</si>
  <si>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</si>
  <si>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</si>
  <si>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</si>
  <si>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</si>
  <si>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</si>
  <si>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</si>
  <si>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</si>
  <si>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</si>
  <si>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</si>
  <si>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</si>
  <si>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</si>
  <si>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</si>
  <si>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</si>
  <si>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</si>
  <si>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</si>
  <si>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</si>
  <si>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</si>
  <si>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</si>
  <si>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</si>
  <si>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</si>
  <si>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</si>
  <si>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</si>
  <si>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</si>
  <si>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</si>
  <si>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</si>
  <si>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</si>
  <si>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</si>
  <si>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</si>
  <si>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</si>
  <si>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</si>
  <si>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</si>
  <si>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</si>
  <si>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</si>
  <si>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</si>
  <si>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</si>
  <si>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</si>
  <si>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</si>
  <si>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</si>
  <si>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</si>
  <si>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</si>
  <si>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</si>
  <si>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</si>
  <si>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</si>
  <si>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</si>
  <si>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</si>
  <si>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</si>
  <si>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</si>
  <si>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</si>
  <si>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</si>
  <si>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</si>
  <si>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</si>
  <si>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</si>
  <si>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</si>
  <si>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</si>
  <si>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</si>
  <si>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</si>
  <si>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</si>
  <si>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</si>
  <si>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</si>
  <si>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</si>
  <si>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</si>
  <si>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</si>
  <si>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</si>
  <si>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</si>
  <si>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</si>
  <si>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</si>
  <si>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</si>
  <si>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</si>
  <si>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</si>
  <si>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</si>
  <si>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</si>
  <si>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</si>
  <si>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</si>
  <si>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</si>
  <si>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</si>
  <si>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</si>
  <si>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</si>
  <si>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</si>
  <si>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</si>
  <si>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</si>
  <si>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</si>
  <si>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</si>
  <si>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</si>
  <si>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</si>
  <si>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</si>
  <si>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</si>
  <si>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</si>
  <si>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</si>
  <si>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</si>
  <si>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</si>
  <si>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</si>
  <si>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</si>
  <si>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</si>
  <si>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</si>
  <si>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</si>
  <si>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</si>
  <si>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</si>
  <si>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</si>
  <si>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</si>
  <si>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</si>
  <si>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</si>
  <si>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</si>
  <si>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</si>
  <si>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</si>
  <si>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</si>
  <si>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</si>
  <si>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</si>
  <si>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</si>
  <si>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</si>
  <si>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</si>
  <si>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</si>
  <si>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</si>
  <si>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</si>
  <si>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</si>
  <si>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</si>
  <si>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</si>
  <si>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</si>
  <si>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</si>
  <si>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</si>
  <si>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</si>
  <si>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</si>
  <si>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</si>
  <si>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</si>
  <si>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</si>
  <si>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</si>
  <si>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</si>
  <si>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</si>
  <si>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</si>
  <si>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</si>
  <si>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</si>
  <si>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</si>
  <si>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</si>
  <si>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</si>
  <si>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</si>
  <si>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</si>
  <si>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</si>
  <si>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</si>
  <si>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</si>
  <si>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</si>
  <si>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</si>
  <si>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</si>
  <si>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</si>
  <si>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</si>
  <si>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</si>
  <si>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</si>
  <si>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</si>
  <si>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</si>
  <si>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</si>
  <si>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</si>
  <si>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</si>
  <si>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</si>
  <si>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</si>
  <si>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</si>
  <si>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</si>
  <si>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</si>
  <si>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</si>
  <si>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</si>
  <si>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</si>
  <si>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</si>
  <si>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</si>
  <si>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</si>
  <si>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</si>
  <si>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</si>
  <si>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</si>
  <si>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</si>
  <si>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</si>
  <si>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</si>
  <si>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</si>
  <si>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</si>
  <si>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</si>
  <si>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</si>
  <si>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</si>
  <si>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</si>
  <si>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</si>
  <si>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</si>
  <si>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</si>
  <si>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</si>
  <si>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</si>
  <si>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</si>
  <si>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</si>
  <si>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</si>
  <si>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</si>
  <si>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</si>
  <si>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</si>
  <si>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</si>
  <si>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</si>
  <si>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</si>
  <si>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</si>
  <si>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</si>
  <si>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</si>
  <si>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</si>
  <si>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</si>
  <si>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</si>
  <si>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</si>
  <si>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</si>
  <si>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</si>
  <si>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</si>
  <si>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</si>
  <si>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</si>
  <si>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</si>
  <si>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</si>
  <si>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</si>
  <si>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</si>
  <si>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</si>
  <si>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</si>
  <si>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</si>
  <si>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</si>
  <si>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</si>
  <si>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</si>
  <si>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</si>
  <si>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</si>
  <si>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</si>
  <si>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</si>
  <si>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</si>
  <si>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</si>
  <si>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</si>
  <si>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</si>
  <si>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</si>
  <si>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</si>
  <si>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</si>
  <si>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</si>
  <si>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</si>
  <si>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</si>
  <si>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</si>
  <si>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</si>
  <si>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</si>
  <si>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</si>
  <si>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</si>
  <si>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</si>
  <si>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</si>
  <si>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</si>
  <si>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</si>
  <si>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</si>
  <si>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</si>
  <si>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</si>
  <si>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</si>
  <si>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</si>
  <si>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</si>
  <si>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</si>
  <si>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</si>
  <si>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</si>
  <si>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</si>
  <si>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</si>
  <si>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</si>
  <si>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</si>
  <si>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</si>
  <si>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</si>
  <si>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</si>
  <si>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</si>
  <si>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</si>
  <si>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</si>
  <si>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</si>
  <si>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</si>
  <si>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</si>
  <si>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</si>
  <si>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</si>
  <si>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</si>
  <si>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</si>
  <si>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</si>
  <si>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</si>
  <si>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</si>
  <si>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</si>
  <si>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</si>
  <si>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</si>
  <si>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</si>
  <si>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</si>
  <si>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</si>
  <si>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</si>
  <si>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</si>
  <si>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</si>
  <si>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</si>
  <si>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</si>
  <si>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</si>
  <si>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</si>
  <si>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</si>
  <si>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</si>
  <si>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</si>
  <si>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</si>
  <si>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</si>
  <si>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</si>
  <si>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</si>
  <si>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</si>
  <si>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</si>
  <si>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</si>
  <si>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</si>
  <si>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</si>
  <si>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</si>
  <si>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</si>
  <si>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</si>
  <si>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</si>
  <si>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</si>
  <si>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</si>
  <si>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</si>
  <si>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</si>
  <si>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</si>
  <si>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</si>
  <si>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</si>
  <si>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</si>
  <si>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</si>
  <si>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</si>
  <si>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</si>
  <si>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</si>
  <si>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</si>
  <si>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</si>
  <si>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</si>
  <si>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</si>
  <si>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</si>
  <si>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</si>
  <si>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</si>
  <si>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</si>
  <si>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</si>
  <si>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</si>
  <si>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</si>
  <si>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</si>
  <si>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</si>
  <si>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</si>
  <si>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</si>
  <si>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</si>
  <si>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</si>
  <si>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</si>
  <si>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</si>
  <si>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</si>
  <si>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</si>
  <si>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</si>
  <si>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</si>
  <si>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</si>
  <si>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</si>
  <si>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</si>
  <si>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</si>
  <si>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</si>
  <si>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</si>
  <si>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</si>
  <si>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</si>
  <si>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</si>
  <si>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</si>
  <si>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</si>
  <si>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</si>
  <si>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</si>
  <si>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</si>
  <si>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</si>
  <si>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</si>
  <si>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</si>
  <si>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</si>
  <si>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</si>
  <si>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</si>
  <si>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</si>
  <si>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</si>
  <si>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</si>
  <si>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</si>
  <si>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</si>
  <si>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</si>
  <si>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</si>
  <si>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</si>
  <si>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</si>
  <si>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</si>
  <si>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</si>
  <si>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</si>
  <si>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</si>
  <si>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</si>
  <si>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</si>
  <si>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</si>
  <si>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</si>
  <si>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</si>
  <si>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</si>
  <si>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</si>
  <si>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</si>
  <si>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</si>
  <si>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</si>
  <si>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</si>
  <si>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</si>
  <si>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</si>
  <si>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</si>
  <si>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</si>
  <si>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</si>
  <si>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</si>
  <si>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</si>
  <si>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</si>
  <si>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</si>
  <si>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</si>
  <si>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</si>
  <si>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</si>
  <si>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</si>
  <si>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</si>
  <si>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</si>
  <si>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</si>
  <si>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</si>
  <si>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</si>
  <si>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</si>
  <si>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</si>
  <si>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</si>
  <si>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</si>
  <si>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</si>
  <si>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</si>
  <si>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</si>
  <si>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</si>
  <si>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</si>
  <si>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</si>
  <si>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</si>
  <si>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</si>
  <si>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</si>
  <si>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</si>
  <si>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</si>
  <si>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</si>
  <si>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</si>
  <si>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</si>
  <si>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</si>
  <si>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</si>
  <si>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</si>
  <si>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</si>
  <si>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</si>
  <si>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</si>
  <si>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</si>
  <si>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</si>
  <si>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</si>
  <si>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</si>
  <si>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</si>
  <si>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</si>
  <si>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</si>
  <si>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</si>
  <si>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</si>
  <si>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</si>
  <si>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</si>
  <si>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</si>
  <si>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</si>
  <si>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</si>
  <si>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</si>
  <si>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</si>
  <si>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</si>
  <si>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</si>
  <si>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</si>
  <si>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</si>
  <si>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</si>
  <si>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</si>
  <si>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</si>
  <si>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</si>
  <si>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</si>
  <si>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</si>
  <si>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</si>
  <si>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</si>
  <si>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</si>
  <si>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</si>
  <si>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</si>
  <si>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</si>
  <si>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</si>
  <si>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</si>
  <si>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</si>
  <si>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</si>
  <si>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</si>
  <si>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</si>
  <si>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</si>
  <si>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</si>
  <si>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</si>
  <si>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</si>
  <si>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</si>
  <si>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</si>
  <si>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</si>
  <si>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</si>
  <si>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</si>
  <si>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</si>
  <si>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</si>
  <si>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</si>
  <si>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</si>
  <si>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</si>
  <si>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</si>
  <si>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</si>
  <si>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</si>
  <si>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</si>
  <si>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</si>
  <si>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</si>
  <si>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</si>
  <si>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</si>
  <si>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</si>
  <si>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</si>
  <si>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</si>
  <si>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</si>
  <si>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</si>
  <si>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</si>
  <si>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</si>
  <si>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</si>
  <si>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</si>
  <si>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</si>
  <si>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</si>
  <si>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</si>
  <si>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</si>
  <si>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</si>
  <si>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</si>
  <si>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</si>
  <si>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</si>
  <si>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</si>
  <si>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</si>
  <si>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</si>
  <si>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</si>
  <si>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</si>
  <si>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</si>
  <si>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</si>
  <si>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</si>
  <si>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</si>
  <si>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</si>
  <si>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</si>
  <si>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</si>
  <si>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</si>
  <si>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</si>
  <si>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</si>
  <si>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</si>
  <si>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</si>
  <si>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</si>
  <si>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</si>
  <si>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</si>
  <si>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</si>
  <si>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</si>
  <si>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</si>
  <si>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</si>
  <si>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</si>
  <si>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</si>
  <si>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</si>
  <si>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</si>
  <si>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</si>
  <si>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</si>
  <si>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</si>
  <si>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</si>
  <si>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</si>
  <si>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</si>
  <si>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</si>
  <si>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</si>
  <si>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</si>
  <si>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</si>
  <si>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</si>
  <si>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</si>
  <si>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</si>
  <si>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</si>
  <si>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</si>
  <si>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</si>
  <si>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</si>
  <si>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</si>
  <si>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</si>
  <si>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</si>
  <si>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</si>
  <si>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</si>
  <si>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</si>
  <si>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</si>
  <si>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</si>
  <si>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</si>
  <si>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</si>
  <si>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</si>
  <si>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</si>
  <si>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</si>
  <si>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</si>
  <si>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</si>
  <si>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</si>
  <si>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</si>
  <si>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</si>
  <si>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</si>
  <si>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</si>
  <si>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</si>
  <si>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</si>
  <si>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</si>
  <si>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</si>
  <si>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</si>
  <si>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</si>
  <si>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</si>
  <si>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</si>
  <si>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</si>
  <si>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</si>
  <si>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</si>
  <si>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</si>
  <si>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</si>
  <si>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</si>
  <si>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</si>
  <si>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</si>
  <si>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</si>
  <si>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</si>
  <si>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</si>
  <si>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</si>
  <si>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</si>
  <si>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</si>
  <si>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</si>
  <si>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</si>
  <si>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</si>
  <si>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</si>
  <si>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</si>
  <si>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</si>
  <si>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</si>
  <si>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</si>
  <si>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</si>
  <si>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</si>
  <si>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</si>
  <si>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</si>
  <si>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</si>
  <si>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</si>
  <si>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</si>
  <si>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</si>
  <si>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</si>
  <si>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</si>
  <si>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</si>
  <si>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</si>
  <si>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</si>
  <si>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</si>
  <si>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</si>
  <si>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</si>
  <si>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</si>
  <si>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</si>
  <si>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</si>
  <si>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</si>
  <si>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</si>
  <si>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</si>
  <si>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</si>
  <si>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</si>
  <si>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</si>
  <si>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</si>
  <si>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</si>
  <si>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</si>
  <si>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</si>
  <si>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</si>
  <si>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</si>
  <si>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</si>
  <si>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</si>
  <si>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</si>
  <si>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</si>
  <si>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</si>
  <si>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</si>
  <si>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</si>
  <si>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</si>
  <si>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</si>
  <si>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</si>
  <si>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</si>
  <si>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</si>
  <si>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</si>
  <si>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</si>
  <si>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</si>
  <si>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</si>
  <si>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</si>
  <si>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</si>
  <si>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</si>
  <si>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</si>
  <si>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</si>
  <si>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</si>
  <si>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</si>
  <si>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</si>
  <si>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</si>
  <si>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</si>
  <si>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</si>
  <si>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</si>
  <si>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</si>
  <si>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</si>
  <si>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</si>
  <si>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</si>
  <si>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</si>
  <si>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</si>
  <si>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</si>
  <si>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</si>
  <si>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</si>
  <si>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</si>
  <si>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</si>
  <si>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</si>
  <si>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</si>
  <si>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</si>
  <si>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</si>
  <si>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</si>
  <si>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</si>
  <si>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</si>
  <si>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</si>
  <si>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</si>
  <si>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</si>
  <si>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</si>
  <si>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</si>
  <si>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</si>
  <si>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</si>
  <si>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</si>
  <si>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</si>
  <si>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</si>
  <si>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</si>
  <si>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</si>
  <si>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</si>
  <si>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</si>
  <si>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</si>
  <si>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</si>
  <si>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</si>
  <si>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</si>
  <si>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</si>
  <si>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</si>
  <si>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</si>
  <si>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</si>
  <si>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</si>
  <si>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</si>
  <si>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</si>
  <si>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</si>
  <si>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</si>
  <si>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</si>
  <si>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</si>
  <si>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</si>
  <si>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</si>
  <si>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</si>
  <si>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</si>
  <si>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</si>
  <si>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</si>
  <si>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</si>
  <si>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</si>
  <si>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</si>
  <si>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</si>
  <si>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</si>
  <si>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</si>
  <si>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</si>
  <si>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</si>
  <si>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</si>
  <si>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</si>
  <si>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</si>
  <si>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</si>
  <si>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</si>
  <si>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</si>
  <si>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</si>
  <si>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</si>
  <si>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</si>
  <si>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</si>
  <si>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</si>
  <si>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</si>
  <si>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</si>
  <si>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</si>
  <si>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</si>
  <si>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</si>
  <si>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</si>
  <si>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</si>
  <si>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</si>
  <si>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</si>
  <si>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</si>
  <si>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</si>
  <si>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</si>
  <si>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</si>
  <si>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</si>
  <si>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</si>
  <si>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</si>
  <si>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</si>
  <si>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</si>
  <si>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</si>
  <si>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</si>
  <si>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</si>
  <si>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</si>
  <si>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</si>
  <si>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</si>
  <si>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</si>
  <si>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</si>
  <si>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</si>
  <si>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</si>
  <si>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</si>
  <si>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</si>
  <si>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</si>
  <si>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</si>
  <si>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</si>
  <si>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</si>
  <si>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</si>
  <si>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</si>
  <si>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</si>
  <si>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</si>
  <si>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</si>
  <si>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</si>
  <si>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</si>
  <si>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</si>
  <si>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</si>
  <si>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</si>
  <si>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</si>
  <si>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</si>
  <si>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</si>
  <si>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</si>
  <si>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</si>
  <si>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</si>
  <si>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</si>
  <si>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</si>
  <si>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</si>
  <si>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</si>
  <si>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</si>
  <si>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</si>
  <si>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</si>
  <si>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</si>
  <si>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</si>
  <si>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</si>
  <si>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</si>
  <si>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</si>
  <si>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</si>
  <si>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</si>
  <si>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</si>
  <si>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</si>
  <si>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</si>
  <si>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</si>
  <si>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</si>
  <si>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</si>
  <si>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</si>
  <si>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</si>
  <si>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</si>
  <si>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</si>
  <si>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</si>
  <si>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</si>
  <si>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</si>
  <si>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</si>
  <si>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</si>
  <si>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</si>
  <si>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</si>
  <si>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</si>
  <si>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</si>
  <si>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</si>
  <si>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</si>
  <si>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</si>
  <si>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</si>
  <si>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</si>
  <si>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</si>
  <si>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</si>
  <si>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</si>
  <si>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</si>
  <si>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</si>
  <si>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</si>
  <si>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</si>
  <si>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</si>
  <si>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</si>
  <si>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</si>
  <si>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</si>
  <si>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</si>
  <si>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</si>
  <si>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</si>
  <si>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</si>
  <si>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</si>
  <si>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</si>
  <si>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</si>
  <si>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</si>
  <si>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</si>
  <si>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</si>
  <si>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</si>
  <si>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</si>
  <si>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</si>
  <si>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</si>
  <si>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</si>
  <si>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</si>
  <si>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</si>
  <si>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</si>
  <si>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</si>
  <si>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</si>
  <si>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</si>
  <si>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</si>
  <si>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</si>
  <si>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</si>
  <si>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</si>
  <si>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</si>
  <si>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</si>
  <si>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</si>
  <si>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</si>
  <si>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</si>
  <si>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</si>
  <si>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</si>
  <si>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</si>
  <si>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</si>
  <si>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</si>
  <si>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</si>
  <si>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</si>
  <si>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</si>
  <si>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</si>
  <si>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</si>
  <si>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</si>
  <si>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</si>
  <si>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</si>
  <si>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</si>
  <si>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</si>
  <si>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</si>
  <si>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</si>
  <si>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</si>
  <si>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</si>
  <si>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</si>
  <si>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</si>
  <si>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</si>
  <si>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</si>
  <si>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</si>
  <si>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</si>
  <si>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</si>
  <si>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</si>
  <si>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</si>
  <si>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</si>
  <si>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</si>
  <si>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</si>
  <si>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</si>
  <si>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</si>
  <si>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</si>
  <si>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</si>
  <si>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</si>
  <si>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</si>
  <si>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</si>
  <si>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</si>
  <si>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</si>
  <si>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</si>
  <si>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</si>
  <si>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</si>
  <si>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</si>
  <si>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</si>
  <si>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</si>
  <si>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</si>
  <si>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</si>
  <si>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</si>
  <si>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</si>
  <si>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</si>
  <si>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</si>
  <si>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</si>
  <si>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</si>
  <si>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</si>
  <si>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</si>
  <si>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</si>
  <si>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</si>
  <si>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</si>
  <si>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</si>
  <si>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</si>
  <si>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</si>
  <si>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</si>
  <si>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</si>
  <si>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</si>
  <si>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</si>
  <si>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</si>
  <si>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</si>
  <si>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</si>
  <si>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</si>
  <si>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</si>
  <si>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</si>
  <si>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</si>
  <si>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</si>
  <si>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</si>
  <si>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</si>
  <si>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</si>
  <si>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</si>
  <si>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</si>
  <si>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</si>
  <si>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</si>
  <si>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</si>
  <si>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</si>
  <si>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</si>
  <si>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</si>
  <si>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</si>
  <si>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</si>
  <si>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</si>
  <si>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</si>
  <si>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</si>
  <si>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</si>
  <si>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</si>
  <si>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</si>
  <si>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</si>
  <si>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</si>
  <si>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</si>
  <si>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</si>
  <si>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</si>
  <si>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</si>
  <si>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</si>
  <si>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</si>
  <si>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</si>
  <si>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</si>
  <si>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</si>
  <si>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</si>
  <si>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</si>
  <si>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</si>
  <si>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</si>
  <si>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</si>
  <si>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</si>
  <si>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</si>
  <si>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</si>
  <si>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</si>
  <si>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</si>
  <si>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</si>
  <si>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</si>
  <si>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</si>
  <si>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</si>
  <si>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</si>
  <si>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</si>
  <si>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</si>
  <si>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</si>
  <si>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</si>
  <si>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</si>
  <si>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</si>
  <si>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</si>
  <si>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</si>
  <si>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</si>
  <si>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</si>
  <si>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</si>
  <si>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</si>
  <si>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</si>
  <si>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</si>
  <si>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</si>
  <si>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</si>
  <si>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</si>
  <si>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</si>
  <si>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</si>
  <si>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</si>
  <si>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</si>
  <si>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</si>
  <si>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</si>
  <si>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</si>
  <si>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</si>
  <si>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</si>
  <si>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</si>
  <si>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</si>
  <si>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</si>
  <si>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</si>
  <si>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</si>
  <si>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</si>
  <si>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</si>
  <si>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</si>
  <si>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</si>
  <si>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</si>
  <si>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</si>
  <si>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</si>
  <si>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</si>
  <si>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</si>
  <si>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</si>
  <si>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</si>
  <si>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</si>
  <si>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</si>
  <si>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</si>
  <si>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</si>
  <si>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</si>
  <si>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</si>
  <si>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</si>
  <si>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</si>
  <si>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</si>
  <si>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</si>
  <si>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</si>
  <si>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</si>
  <si>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</si>
  <si>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</si>
  <si>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</si>
  <si>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</si>
  <si>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</si>
  <si>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</si>
  <si>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</si>
  <si>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</si>
  <si>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</si>
  <si>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</si>
  <si>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</si>
  <si>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</si>
  <si>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</si>
  <si>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</si>
  <si>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</si>
  <si>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</si>
  <si>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</si>
  <si>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</si>
  <si>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</si>
  <si>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</si>
  <si>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</si>
  <si>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</si>
  <si>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</si>
  <si>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</si>
  <si>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</si>
  <si>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</si>
  <si>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</si>
  <si>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</si>
  <si>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</si>
  <si>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</si>
  <si>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</si>
  <si>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</si>
  <si>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</si>
  <si>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</si>
  <si>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</si>
  <si>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</si>
  <si>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</si>
  <si>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</si>
  <si>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</si>
  <si>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</si>
  <si>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</si>
  <si>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</si>
  <si>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</si>
  <si>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</si>
  <si>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</si>
  <si>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</si>
  <si>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</si>
  <si>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</si>
  <si>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</si>
  <si>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</si>
  <si>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</si>
  <si>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</si>
  <si>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</si>
  <si>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</si>
  <si>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</si>
  <si>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</si>
  <si>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</si>
  <si>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</si>
  <si>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</si>
  <si>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</si>
  <si>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</si>
  <si>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</si>
  <si>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</si>
  <si>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</si>
  <si>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</si>
  <si>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</si>
  <si>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</si>
  <si>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</si>
  <si>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</si>
  <si>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</si>
  <si>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</si>
  <si>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</si>
  <si>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</si>
  <si>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</si>
  <si>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</si>
  <si>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</si>
  <si>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</si>
  <si>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</si>
  <si>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</si>
  <si>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</si>
  <si>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</si>
  <si>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</si>
  <si>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</si>
  <si>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</si>
  <si>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</si>
  <si>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</si>
  <si>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</si>
  <si>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</si>
  <si>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</si>
  <si>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</si>
  <si>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</si>
  <si>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</si>
  <si>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</si>
  <si>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</si>
  <si>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</si>
  <si>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</si>
  <si>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</si>
  <si>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</si>
  <si>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</si>
  <si>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</si>
  <si>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</si>
  <si>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</si>
  <si>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</si>
  <si>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</si>
  <si>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</si>
  <si>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</si>
  <si>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</si>
  <si>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</si>
  <si>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</si>
  <si>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</si>
  <si>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</si>
  <si>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</si>
  <si>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</si>
  <si>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</si>
  <si>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</si>
  <si>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</si>
  <si>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</si>
  <si>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</si>
  <si>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</si>
  <si>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</si>
  <si>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</si>
  <si>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</si>
  <si>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</si>
  <si>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</si>
  <si>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</si>
  <si>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</si>
  <si>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</si>
  <si>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</si>
  <si>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</si>
  <si>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</si>
  <si>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</si>
  <si>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</si>
  <si>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</si>
  <si>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</si>
  <si>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</si>
  <si>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</si>
  <si>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</si>
  <si>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</si>
  <si>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</si>
  <si>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</si>
  <si>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</si>
  <si>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</si>
  <si>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</si>
  <si>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</si>
  <si>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</si>
  <si>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</si>
  <si>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</si>
  <si>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</si>
  <si>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</si>
  <si>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</si>
  <si>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</si>
  <si>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</si>
  <si>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</si>
  <si>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</si>
  <si>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</si>
  <si>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</si>
  <si>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</si>
  <si>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</si>
  <si>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</si>
  <si>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</si>
  <si>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</si>
  <si>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</si>
  <si>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</si>
  <si>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</si>
  <si>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</si>
  <si>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</si>
  <si>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</si>
  <si>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</si>
  <si>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</si>
  <si>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</si>
  <si>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</si>
  <si>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</si>
  <si>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</si>
  <si>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</si>
  <si>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</si>
  <si>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</si>
  <si>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</si>
  <si>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</si>
  <si>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</si>
  <si>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</si>
  <si>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</si>
  <si>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</si>
  <si>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</si>
  <si>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</si>
  <si>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</si>
  <si>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</si>
  <si>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</si>
  <si>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</si>
  <si>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</si>
  <si>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</si>
  <si>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</si>
  <si>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</si>
  <si>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</si>
  <si>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</si>
  <si>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</si>
  <si>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</si>
  <si>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</si>
  <si>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</si>
  <si>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</si>
  <si>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</si>
  <si>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</si>
  <si>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</si>
  <si>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</si>
  <si>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</si>
  <si>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</si>
  <si>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</si>
  <si>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</si>
  <si>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</si>
  <si>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</si>
  <si>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</si>
  <si>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</si>
  <si>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</si>
  <si>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</si>
  <si>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</si>
  <si>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</si>
  <si>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</si>
  <si>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</si>
  <si>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</si>
  <si>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</si>
  <si>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</si>
  <si>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</si>
  <si>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</si>
  <si>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</si>
  <si>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</si>
  <si>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</si>
  <si>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</si>
  <si>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</si>
  <si>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</si>
  <si>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</si>
  <si>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</si>
  <si>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</si>
  <si>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</si>
  <si>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</si>
  <si>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</si>
  <si>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</si>
  <si>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</si>
  <si>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</si>
  <si>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</si>
  <si>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</si>
  <si>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</si>
  <si>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</si>
  <si>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</si>
  <si>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</si>
  <si>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</si>
  <si>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</si>
  <si>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</si>
  <si>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</si>
  <si>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</si>
  <si>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</si>
  <si>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</si>
  <si>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</si>
  <si>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</si>
  <si>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</si>
  <si>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</si>
  <si>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</si>
  <si>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</si>
  <si>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</si>
  <si>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</si>
  <si>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</si>
  <si>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</si>
  <si>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</si>
  <si>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</si>
  <si>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</si>
  <si>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</si>
  <si>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</si>
  <si>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</si>
  <si>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</si>
  <si>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</si>
  <si>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</si>
  <si>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</si>
  <si>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</si>
  <si>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</si>
  <si>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</si>
  <si>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</si>
  <si>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</si>
  <si>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</si>
  <si>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</si>
  <si>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</si>
  <si>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</si>
  <si>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</si>
  <si>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</si>
  <si>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</si>
  <si>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</si>
  <si>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</si>
  <si>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</si>
  <si>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</si>
  <si>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</si>
  <si>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</si>
  <si>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</si>
  <si>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</si>
  <si>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</si>
  <si>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</si>
  <si>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</si>
  <si>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</si>
  <si>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</si>
  <si>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</si>
  <si>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</si>
  <si>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</si>
  <si>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</si>
  <si>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</si>
  <si>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</si>
  <si>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</si>
  <si>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</si>
  <si>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</si>
  <si>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</si>
  <si>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</si>
  <si>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</si>
  <si>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</si>
  <si>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</si>
  <si>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</si>
  <si>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</si>
  <si>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</si>
  <si>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</si>
  <si>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</si>
  <si>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</si>
  <si>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</si>
  <si>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</si>
  <si>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</si>
  <si>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</si>
  <si>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</si>
  <si>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</si>
  <si>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</si>
  <si>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</si>
  <si>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</si>
  <si>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</si>
  <si>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</si>
  <si>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</si>
  <si>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</si>
  <si>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</si>
  <si>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</si>
  <si>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</si>
  <si>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</si>
  <si>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</si>
  <si>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</si>
  <si>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</si>
  <si>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</si>
  <si>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</si>
  <si>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</si>
  <si>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</si>
  <si>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</si>
  <si>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</si>
  <si>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</si>
  <si>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</si>
  <si>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</si>
  <si>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</si>
  <si>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</si>
  <si>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</si>
  <si>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</si>
  <si>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</si>
  <si>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</si>
  <si>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</si>
  <si>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</si>
  <si>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</si>
  <si>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</si>
  <si>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</si>
  <si>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</si>
  <si>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</si>
  <si>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</si>
  <si>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</si>
  <si>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</si>
  <si>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</si>
  <si>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</si>
  <si>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</si>
  <si>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</si>
  <si>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</si>
  <si>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</si>
  <si>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</si>
  <si>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</si>
  <si>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</si>
  <si>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</si>
  <si>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</si>
  <si>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</si>
  <si>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</si>
  <si>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</si>
  <si>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</si>
  <si>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</si>
  <si>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</si>
  <si>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</si>
  <si>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</si>
  <si>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</si>
  <si>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</si>
  <si>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</si>
  <si>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</si>
  <si>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</si>
  <si>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</si>
  <si>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</si>
  <si>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</si>
  <si>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</si>
  <si>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</si>
  <si>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</si>
  <si>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</si>
  <si>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</si>
  <si>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</si>
  <si>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</si>
  <si>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</si>
  <si>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</si>
  <si>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</si>
  <si>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</si>
  <si>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</si>
  <si>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</si>
  <si>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</si>
  <si>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</si>
  <si>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</si>
  <si>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</si>
  <si>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</si>
  <si>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</si>
  <si>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</si>
  <si>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</si>
  <si>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</si>
  <si>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</si>
  <si>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</si>
  <si>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</si>
  <si>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</si>
  <si>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</si>
  <si>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</si>
  <si>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</si>
  <si>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</si>
  <si>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</si>
  <si>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</si>
  <si>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</si>
  <si>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</si>
  <si>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</si>
  <si>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</si>
  <si>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</si>
  <si>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</si>
  <si>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</si>
  <si>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</si>
  <si>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</si>
  <si>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</si>
  <si>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</si>
  <si>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</si>
  <si>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</si>
  <si>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</si>
  <si>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</si>
  <si>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</si>
  <si>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</si>
  <si>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</si>
  <si>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</si>
  <si>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</si>
  <si>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</si>
  <si>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</si>
  <si>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</si>
  <si>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</si>
  <si>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</si>
  <si>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</si>
  <si>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</si>
  <si>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</si>
  <si>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</si>
  <si>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</si>
  <si>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</si>
  <si>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</si>
  <si>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</si>
  <si>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</si>
  <si>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</si>
  <si>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</si>
  <si>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</si>
  <si>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</si>
  <si>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</si>
  <si>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</si>
  <si>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</si>
  <si>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</si>
  <si>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</si>
  <si>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</si>
  <si>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</si>
  <si>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</si>
  <si>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</si>
  <si>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</si>
  <si>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</si>
  <si>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</si>
  <si>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</si>
  <si>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</si>
  <si>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</si>
  <si>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</si>
  <si>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</si>
  <si>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</si>
  <si>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</si>
  <si>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</si>
  <si>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</si>
  <si>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</si>
  <si>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</si>
  <si>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</si>
  <si>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</si>
  <si>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</si>
  <si>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</si>
  <si>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</si>
  <si>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</si>
  <si>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</si>
  <si>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</si>
  <si>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</si>
  <si>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</si>
  <si>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</si>
  <si>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</si>
  <si>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</si>
  <si>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</si>
  <si>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</si>
  <si>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</si>
  <si>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</si>
  <si>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</si>
  <si>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</si>
  <si>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</si>
  <si>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</si>
  <si>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</si>
  <si>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</si>
  <si>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</si>
  <si>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</si>
  <si>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</si>
  <si>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</si>
  <si>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</si>
  <si>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</si>
  <si>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</si>
  <si>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</si>
  <si>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</si>
  <si>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</si>
  <si>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</si>
  <si>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</si>
  <si>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</si>
  <si>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</si>
  <si>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</si>
  <si>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</si>
  <si>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</si>
  <si>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</si>
  <si>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</si>
  <si>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</si>
  <si>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</si>
  <si>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</si>
  <si>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</si>
  <si>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</si>
  <si>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</si>
  <si>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</si>
  <si>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</si>
  <si>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</si>
  <si>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</si>
  <si>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</si>
  <si>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</si>
  <si>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</si>
  <si>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</si>
  <si>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</si>
  <si>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</si>
  <si>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</si>
  <si>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</si>
  <si>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</si>
  <si>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</si>
  <si>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</si>
  <si>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</si>
  <si>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</si>
  <si>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</si>
  <si>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</si>
  <si>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</si>
  <si>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</si>
  <si>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</si>
  <si>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</si>
  <si>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</si>
  <si>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</si>
  <si>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</si>
  <si>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</si>
  <si>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</si>
  <si>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</si>
  <si>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</si>
  <si>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</si>
  <si>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</si>
  <si>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</si>
  <si>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</si>
  <si>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</si>
  <si>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</si>
  <si>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</si>
  <si>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</si>
  <si>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</si>
  <si>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</si>
  <si>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</si>
  <si>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</si>
  <si>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</si>
  <si>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</si>
  <si>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</si>
  <si>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</si>
  <si>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</si>
  <si>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</si>
  <si>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</si>
  <si>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</si>
  <si>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</si>
  <si>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</si>
  <si>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</si>
  <si>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</si>
  <si>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</si>
  <si>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</si>
  <si>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</si>
  <si>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</si>
  <si>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</si>
  <si>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</si>
  <si>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</si>
  <si>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</si>
  <si>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</si>
  <si>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</si>
  <si>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</si>
  <si>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</si>
  <si>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</si>
  <si>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</si>
  <si>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</si>
  <si>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</si>
  <si>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</si>
  <si>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</si>
  <si>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</si>
  <si>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</si>
  <si>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</si>
  <si>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</si>
  <si>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</si>
  <si>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</si>
  <si>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</si>
  <si>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</si>
  <si>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</si>
  <si>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</si>
  <si>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</si>
  <si>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</si>
  <si>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</si>
  <si>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</si>
  <si>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</si>
  <si>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</si>
  <si>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</si>
  <si>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</si>
  <si>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</si>
  <si>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</si>
  <si>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</si>
  <si>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</si>
  <si>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</si>
  <si>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</si>
  <si>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</si>
  <si>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</si>
  <si>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</si>
  <si>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</si>
  <si>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</si>
  <si>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</si>
  <si>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</si>
  <si>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</si>
  <si>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</si>
  <si>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</si>
  <si>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</si>
  <si>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</si>
  <si>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</si>
  <si>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</si>
  <si>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</si>
  <si>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</si>
  <si>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</si>
  <si>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</si>
  <si>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</si>
  <si>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</si>
  <si>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</si>
  <si>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</si>
  <si>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</si>
  <si>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</si>
  <si>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</si>
  <si>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</si>
  <si>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</si>
  <si>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</si>
  <si>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</si>
  <si>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</si>
  <si>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</si>
  <si>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</si>
  <si>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</si>
  <si>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</si>
  <si>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</si>
  <si>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</si>
  <si>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</si>
  <si>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</si>
  <si>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</si>
  <si>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</si>
  <si>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</si>
  <si>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</si>
  <si>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</si>
  <si>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</si>
  <si>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</si>
  <si>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</si>
  <si>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</si>
  <si>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</si>
  <si>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</si>
  <si>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</si>
  <si>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</si>
  <si>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</si>
  <si>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</si>
  <si>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</si>
  <si>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1940 SVEUČILIŠTE U ZAGREBU - UČITELJSKI FAKULTET</t>
  </si>
  <si>
    <t>Irena Tadić, oec</t>
  </si>
  <si>
    <t>01/632-7385</t>
  </si>
  <si>
    <t>irena.tadic@ufzg.hr</t>
  </si>
  <si>
    <t>ERASMUS+ KA220-HED-902E85CF-EDUCATORE</t>
  </si>
  <si>
    <t>ERASMUS+ KA220-SCH-000024606-TAT</t>
  </si>
  <si>
    <t xml:space="preserve">ERASMUS+ KA220-SCH-000034443–CARE2LEARN </t>
  </si>
  <si>
    <t xml:space="preserve">ERASMUS+ KA220-SCH-000024512-GIFTED </t>
  </si>
  <si>
    <t>15.02.2022.</t>
  </si>
  <si>
    <t>14.02.2024.</t>
  </si>
  <si>
    <t>01.01.2022.</t>
  </si>
  <si>
    <t>31.12.2024.</t>
  </si>
  <si>
    <t>14.02.2025.</t>
  </si>
  <si>
    <t>30.04.2024.</t>
  </si>
  <si>
    <t>30.11.2024.</t>
  </si>
  <si>
    <t>The Maria Grzegorzewska University, Poljska</t>
  </si>
  <si>
    <t>Noah s.r.l., Italjia</t>
  </si>
  <si>
    <t>Društvo ustvarjalcev TAKA TUKA, Slovenija</t>
  </si>
  <si>
    <t>Udruga roditelja "Korak po korak", Hrvatska</t>
  </si>
  <si>
    <t>k679116</t>
  </si>
  <si>
    <t>Zagreb, 02.12.2022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</si>
</sst>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87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family val="2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family val="2"/>
      <charset val="238"/>
    </font>
    <font>
      <i/>
      <sz val="10"/>
      <color indexed="8"/>
      <name val="MS Sans Serif"/>
      <family val="2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  <font>
      <sz val="8"/>
      <color theme="1"/>
      <name val="Arial"/>
      <family val="2"/>
      <charset val="238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</fills>
  <borders count="4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134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</cellStyleXfs>
  <cellXfs count="312">
    <xf numFmtId="0" fontId="0" fillId="0" borderId="0" xfId="0"/>
    <xf numFmtId="0" fontId="15" fillId="0" borderId="0" xfId="2" applyFont="1" applyAlignment="1">
      <alignment vertical="center"/>
    </xf>
    <xf numFmtId="0" fontId="16" fillId="12" borderId="5" xfId="2" applyFont="1" applyFill="1" applyBorder="1" applyAlignment="1">
      <alignment horizontal="center" vertical="center" wrapText="1"/>
    </xf>
    <xf numFmtId="3" fontId="15" fillId="0" borderId="6" xfId="2" applyNumberFormat="1" applyFont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>
      <alignment vertical="center"/>
    </xf>
    <xf numFmtId="0" fontId="21" fillId="0" borderId="0" xfId="2" applyFont="1" applyAlignment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Font="1" applyAlignment="1">
      <alignment vertical="center"/>
    </xf>
    <xf numFmtId="3" fontId="18" fillId="15" borderId="6" xfId="2" applyNumberFormat="1" applyFont="1" applyFill="1" applyBorder="1" applyAlignment="1">
      <alignment horizontal="center" vertical="center"/>
    </xf>
    <xf numFmtId="3" fontId="18" fillId="15" borderId="6" xfId="2" applyNumberFormat="1" applyFont="1" applyFill="1" applyBorder="1" applyAlignment="1">
      <alignment vertical="center" wrapText="1"/>
    </xf>
    <xf numFmtId="0" fontId="18" fillId="0" borderId="0" xfId="2" applyFont="1" applyAlignment="1">
      <alignment vertical="center"/>
    </xf>
    <xf numFmtId="3" fontId="21" fillId="13" borderId="6" xfId="2" applyNumberFormat="1" applyFont="1" applyFill="1" applyBorder="1" applyAlignment="1">
      <alignment vertical="center"/>
    </xf>
    <xf numFmtId="0" fontId="19" fillId="0" borderId="6" xfId="2" applyFont="1" applyBorder="1" applyAlignment="1">
      <alignment vertical="center"/>
    </xf>
    <xf numFmtId="0" fontId="19" fillId="16" borderId="0" xfId="2" applyFont="1" applyFill="1" applyAlignment="1">
      <alignment horizontal="right" vertical="center"/>
    </xf>
    <xf numFmtId="0" fontId="18" fillId="0" borderId="6" xfId="2" applyFont="1" applyBorder="1" applyAlignment="1">
      <alignment vertical="center"/>
    </xf>
    <xf numFmtId="0" fontId="19" fillId="16" borderId="0" xfId="2" applyFont="1" applyFill="1" applyAlignment="1">
      <alignment vertical="center"/>
    </xf>
    <xf numFmtId="0" fontId="21" fillId="16" borderId="0" xfId="2" applyFont="1" applyFill="1" applyAlignment="1">
      <alignment vertical="center"/>
    </xf>
    <xf numFmtId="0" fontId="4" fillId="6" borderId="0" xfId="2" applyFont="1" applyFill="1" applyAlignment="1">
      <alignment vertical="center"/>
    </xf>
    <xf numFmtId="0" fontId="21" fillId="15" borderId="0" xfId="2" applyFont="1" applyFill="1" applyAlignment="1">
      <alignment horizontal="center" vertical="center"/>
    </xf>
    <xf numFmtId="0" fontId="15" fillId="15" borderId="0" xfId="2" applyFont="1" applyFill="1" applyAlignment="1">
      <alignment vertical="center" wrapText="1"/>
    </xf>
    <xf numFmtId="0" fontId="15" fillId="15" borderId="0" xfId="2" applyFont="1" applyFill="1" applyAlignment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Font="1" applyAlignment="1">
      <alignment vertical="center" wrapText="1"/>
    </xf>
    <xf numFmtId="0" fontId="30" fillId="0" borderId="0" xfId="2" quotePrefix="1" applyFont="1" applyAlignment="1">
      <alignment horizontal="center" vertical="center"/>
    </xf>
    <xf numFmtId="0" fontId="21" fillId="0" borderId="0" xfId="2" applyFont="1" applyAlignment="1">
      <alignment horizontal="center" vertical="center"/>
    </xf>
    <xf numFmtId="0" fontId="15" fillId="0" borderId="0" xfId="2" applyFont="1" applyAlignment="1">
      <alignment horizontal="center" vertical="center"/>
    </xf>
    <xf numFmtId="0" fontId="21" fillId="0" borderId="0" xfId="2" quotePrefix="1" applyFont="1" applyAlignment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>
      <alignment horizontal="right"/>
    </xf>
    <xf numFmtId="0" fontId="15" fillId="0" borderId="0" xfId="2" applyFont="1"/>
    <xf numFmtId="0" fontId="14" fillId="0" borderId="0" xfId="2"/>
    <xf numFmtId="0" fontId="21" fillId="0" borderId="0" xfId="2" applyFont="1"/>
    <xf numFmtId="0" fontId="14" fillId="0" borderId="0" xfId="2" applyAlignment="1">
      <alignment vertical="center"/>
    </xf>
    <xf numFmtId="0" fontId="30" fillId="0" borderId="0" xfId="2" applyFont="1"/>
    <xf numFmtId="0" fontId="29" fillId="0" borderId="0" xfId="2" applyFont="1"/>
    <xf numFmtId="0" fontId="18" fillId="0" borderId="6" xfId="2" applyFont="1" applyBorder="1" applyAlignment="1">
      <alignment horizontal="center" vertical="center"/>
    </xf>
    <xf numFmtId="0" fontId="19" fillId="0" borderId="0" xfId="2" applyFont="1"/>
    <xf numFmtId="0" fontId="28" fillId="0" borderId="0" xfId="2" applyFont="1"/>
    <xf numFmtId="1" fontId="11" fillId="0" borderId="0" xfId="2" applyNumberFormat="1" applyFont="1" applyAlignment="1">
      <alignment vertical="center" wrapText="1"/>
    </xf>
    <xf numFmtId="0" fontId="11" fillId="0" borderId="0" xfId="2" applyFont="1" applyAlignment="1">
      <alignment vertical="center"/>
    </xf>
    <xf numFmtId="0" fontId="11" fillId="0" borderId="0" xfId="2" applyFont="1" applyAlignment="1">
      <alignment horizontal="right" vertical="center"/>
    </xf>
    <xf numFmtId="1" fontId="16" fillId="12" borderId="5" xfId="2" applyNumberFormat="1" applyFont="1" applyFill="1" applyBorder="1" applyAlignment="1">
      <alignment horizontal="left" vertical="center" wrapText="1"/>
    </xf>
    <xf numFmtId="49" fontId="15" fillId="0" borderId="6" xfId="2" applyNumberFormat="1" applyFont="1" applyBorder="1" applyAlignment="1">
      <alignment horizontal="left"/>
    </xf>
    <xf numFmtId="0" fontId="11" fillId="0" borderId="6" xfId="6" applyFont="1" applyBorder="1" applyAlignment="1">
      <alignment horizontal="left" vertical="center" wrapText="1"/>
    </xf>
    <xf numFmtId="49" fontId="15" fillId="0" borderId="8" xfId="2" applyNumberFormat="1" applyFont="1" applyBorder="1" applyAlignment="1">
      <alignment horizontal="left"/>
    </xf>
    <xf numFmtId="49" fontId="19" fillId="13" borderId="6" xfId="2" applyNumberFormat="1" applyFont="1" applyFill="1" applyBorder="1" applyAlignment="1">
      <alignment horizontal="left"/>
    </xf>
    <xf numFmtId="0" fontId="18" fillId="13" borderId="6" xfId="6" applyFont="1" applyFill="1" applyBorder="1" applyAlignment="1">
      <alignment horizontal="left" vertical="center" wrapText="1"/>
    </xf>
    <xf numFmtId="0" fontId="15" fillId="0" borderId="6" xfId="7" applyFont="1" applyBorder="1" applyAlignment="1">
      <alignment horizontal="left" wrapText="1"/>
    </xf>
    <xf numFmtId="1" fontId="11" fillId="0" borderId="6" xfId="2" applyNumberFormat="1" applyFont="1" applyBorder="1" applyAlignment="1">
      <alignment horizontal="left" vertical="center" wrapText="1"/>
    </xf>
    <xf numFmtId="0" fontId="11" fillId="0" borderId="6" xfId="8" applyFont="1" applyBorder="1" applyAlignment="1">
      <alignment horizontal="left" vertical="center" wrapText="1"/>
    </xf>
    <xf numFmtId="0" fontId="15" fillId="0" borderId="0" xfId="2" applyFont="1" applyAlignment="1">
      <alignment horizontal="center" vertical="center" wrapText="1"/>
    </xf>
    <xf numFmtId="0" fontId="15" fillId="0" borderId="0" xfId="2" applyFont="1" applyAlignment="1">
      <alignment horizontal="left" vertical="center" wrapText="1"/>
    </xf>
    <xf numFmtId="0" fontId="33" fillId="0" borderId="0" xfId="2" applyFont="1" applyAlignment="1">
      <alignment vertical="center"/>
    </xf>
    <xf numFmtId="0" fontId="32" fillId="0" borderId="0" xfId="2" quotePrefix="1" applyFont="1" applyAlignment="1">
      <alignment horizontal="center" vertical="center"/>
    </xf>
    <xf numFmtId="0" fontId="32" fillId="0" borderId="0" xfId="2" applyFont="1" applyAlignment="1">
      <alignment vertical="center"/>
    </xf>
    <xf numFmtId="0" fontId="33" fillId="0" borderId="0" xfId="2" quotePrefix="1" applyFont="1" applyAlignment="1">
      <alignment horizontal="left" vertical="center" wrapText="1"/>
    </xf>
    <xf numFmtId="0" fontId="32" fillId="0" borderId="0" xfId="2" quotePrefix="1" applyFont="1" applyAlignment="1">
      <alignment horizontal="left" vertical="center" wrapText="1"/>
    </xf>
    <xf numFmtId="0" fontId="11" fillId="0" borderId="8" xfId="6" applyFont="1" applyBorder="1" applyAlignment="1">
      <alignment horizontal="left" vertical="center" wrapText="1"/>
    </xf>
    <xf numFmtId="49" fontId="15" fillId="0" borderId="10" xfId="2" applyNumberFormat="1" applyFont="1" applyBorder="1" applyAlignment="1">
      <alignment horizontal="left"/>
    </xf>
    <xf numFmtId="0" fontId="11" fillId="0" borderId="10" xfId="6" applyFont="1" applyBorder="1" applyAlignment="1">
      <alignment horizontal="left" vertical="center" wrapText="1"/>
    </xf>
    <xf numFmtId="166" fontId="15" fillId="0" borderId="6" xfId="2" applyNumberFormat="1" applyFont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>
      <alignment horizontal="left"/>
    </xf>
    <xf numFmtId="0" fontId="20" fillId="13" borderId="6" xfId="6" applyFont="1" applyFill="1" applyBorder="1" applyAlignment="1">
      <alignment horizontal="left" vertical="center" wrapText="1"/>
    </xf>
    <xf numFmtId="0" fontId="35" fillId="20" borderId="6" xfId="2" applyFont="1" applyFill="1" applyBorder="1" applyAlignment="1">
      <alignment vertical="center" wrapText="1"/>
    </xf>
    <xf numFmtId="3" fontId="35" fillId="20" borderId="6" xfId="2" applyNumberFormat="1" applyFont="1" applyFill="1" applyBorder="1" applyAlignment="1">
      <alignment vertical="center"/>
    </xf>
    <xf numFmtId="3" fontId="35" fillId="20" borderId="6" xfId="2" applyNumberFormat="1" applyFont="1" applyFill="1" applyBorder="1" applyAlignment="1">
      <alignment vertical="center" wrapText="1"/>
    </xf>
    <xf numFmtId="3" fontId="20" fillId="14" borderId="6" xfId="2" applyNumberFormat="1" applyFont="1" applyFill="1" applyBorder="1" applyAlignment="1">
      <alignment horizontal="left" vertical="center"/>
    </xf>
    <xf numFmtId="3" fontId="20" fillId="14" borderId="6" xfId="2" applyNumberFormat="1" applyFont="1" applyFill="1" applyBorder="1" applyAlignment="1">
      <alignment vertical="center" wrapText="1"/>
    </xf>
    <xf numFmtId="3" fontId="21" fillId="14" borderId="6" xfId="2" applyNumberFormat="1" applyFont="1" applyFill="1" applyBorder="1"/>
    <xf numFmtId="3" fontId="20" fillId="14" borderId="6" xfId="2" applyNumberFormat="1" applyFont="1" applyFill="1" applyBorder="1" applyAlignment="1">
      <alignment vertical="center"/>
    </xf>
    <xf numFmtId="3" fontId="21" fillId="14" borderId="6" xfId="2" applyNumberFormat="1" applyFont="1" applyFill="1" applyBorder="1" applyAlignment="1">
      <alignment vertical="center"/>
    </xf>
    <xf numFmtId="0" fontId="20" fillId="14" borderId="6" xfId="2" applyFont="1" applyFill="1" applyBorder="1" applyAlignment="1">
      <alignment horizontal="left" vertical="center"/>
    </xf>
    <xf numFmtId="0" fontId="21" fillId="14" borderId="6" xfId="2" applyFont="1" applyFill="1" applyBorder="1" applyAlignment="1">
      <alignment vertical="center"/>
    </xf>
    <xf numFmtId="3" fontId="20" fillId="14" borderId="9" xfId="2" applyNumberFormat="1" applyFont="1" applyFill="1" applyBorder="1" applyAlignment="1">
      <alignment vertical="center"/>
    </xf>
    <xf numFmtId="3" fontId="21" fillId="14" borderId="10" xfId="2" applyNumberFormat="1" applyFont="1" applyFill="1" applyBorder="1" applyAlignment="1">
      <alignment vertical="center"/>
    </xf>
    <xf numFmtId="3" fontId="21" fillId="13" borderId="12" xfId="2" applyNumberFormat="1" applyFont="1" applyFill="1" applyBorder="1"/>
    <xf numFmtId="3" fontId="21" fillId="13" borderId="12" xfId="2" applyNumberFormat="1" applyFont="1" applyFill="1" applyBorder="1" applyAlignment="1">
      <alignment vertical="center"/>
    </xf>
    <xf numFmtId="3" fontId="15" fillId="13" borderId="10" xfId="2" applyNumberFormat="1" applyFont="1" applyFill="1" applyBorder="1" applyAlignment="1">
      <alignment vertical="center"/>
    </xf>
    <xf numFmtId="0" fontId="25" fillId="53" borderId="1" xfId="19" quotePrefix="1" applyNumberFormat="1" applyFont="1" applyFill="1">
      <alignment horizontal="left" vertical="center" indent="1" justifyLastLine="1"/>
    </xf>
    <xf numFmtId="0" fontId="24" fillId="53" borderId="1" xfId="19" quotePrefix="1" applyNumberFormat="1" applyFont="1" applyFill="1">
      <alignment horizontal="left" vertical="center" indent="1" justifyLastLine="1"/>
    </xf>
    <xf numFmtId="3" fontId="11" fillId="15" borderId="6" xfId="2" applyNumberFormat="1" applyFont="1" applyFill="1" applyBorder="1" applyAlignment="1">
      <alignment vertical="center"/>
    </xf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/>
    <xf numFmtId="0" fontId="1" fillId="0" borderId="0" xfId="4" applyFont="1" applyAlignment="1">
      <alignment vertical="center"/>
    </xf>
    <xf numFmtId="0" fontId="4" fillId="0" borderId="0" xfId="4" applyFont="1" applyAlignment="1">
      <alignment vertical="center"/>
    </xf>
    <xf numFmtId="0" fontId="53" fillId="52" borderId="6" xfId="73" applyFont="1" applyFill="1" applyBorder="1" applyAlignment="1">
      <alignment horizontal="center" vertical="center"/>
    </xf>
    <xf numFmtId="0" fontId="53" fillId="52" borderId="10" xfId="73" applyFont="1" applyFill="1" applyBorder="1" applyAlignment="1">
      <alignment horizontal="center" vertical="center"/>
    </xf>
    <xf numFmtId="0" fontId="5" fillId="0" borderId="0" xfId="4" applyFont="1" applyAlignment="1">
      <alignment vertical="center"/>
    </xf>
    <xf numFmtId="0" fontId="53" fillId="52" borderId="6" xfId="2" applyFont="1" applyFill="1" applyBorder="1" applyAlignment="1">
      <alignment horizontal="left" vertical="center"/>
    </xf>
    <xf numFmtId="0" fontId="7" fillId="0" borderId="0" xfId="4" applyFont="1" applyAlignment="1">
      <alignment horizontal="left" vertical="center" wrapText="1"/>
    </xf>
    <xf numFmtId="0" fontId="8" fillId="17" borderId="5" xfId="4" applyFont="1" applyFill="1" applyBorder="1" applyAlignment="1">
      <alignment horizontal="center" vertical="center" wrapText="1"/>
    </xf>
    <xf numFmtId="0" fontId="9" fillId="0" borderId="4" xfId="4" applyFont="1" applyBorder="1" applyAlignment="1">
      <alignment horizontal="left" vertical="center" wrapText="1"/>
    </xf>
    <xf numFmtId="3" fontId="7" fillId="11" borderId="4" xfId="4" applyNumberFormat="1" applyFont="1" applyFill="1" applyBorder="1" applyAlignment="1">
      <alignment horizontal="right" vertical="center" wrapText="1"/>
    </xf>
    <xf numFmtId="0" fontId="7" fillId="0" borderId="0" xfId="4" applyFont="1" applyAlignment="1">
      <alignment horizontal="center" vertical="center" wrapText="1"/>
    </xf>
    <xf numFmtId="0" fontId="9" fillId="0" borderId="4" xfId="4" applyFont="1" applyBorder="1" applyAlignment="1">
      <alignment horizontal="center" vertical="center" wrapText="1"/>
    </xf>
    <xf numFmtId="3" fontId="7" fillId="0" borderId="4" xfId="4" applyNumberFormat="1" applyFont="1" applyBorder="1" applyAlignment="1">
      <alignment horizontal="right" vertical="center"/>
    </xf>
    <xf numFmtId="0" fontId="9" fillId="0" borderId="4" xfId="4" applyFont="1" applyBorder="1" applyAlignment="1">
      <alignment horizontal="left" vertical="center"/>
    </xf>
    <xf numFmtId="3" fontId="1" fillId="0" borderId="0" xfId="4" applyNumberFormat="1" applyFont="1" applyAlignment="1">
      <alignment vertical="center"/>
    </xf>
    <xf numFmtId="0" fontId="9" fillId="0" borderId="4" xfId="4" applyFont="1" applyBorder="1" applyAlignment="1">
      <alignment horizontal="center" vertical="center"/>
    </xf>
    <xf numFmtId="3" fontId="7" fillId="11" borderId="4" xfId="4" applyNumberFormat="1" applyFont="1" applyFill="1" applyBorder="1" applyAlignment="1">
      <alignment horizontal="right" vertical="center"/>
    </xf>
    <xf numFmtId="3" fontId="7" fillId="0" borderId="4" xfId="4" applyNumberFormat="1" applyFont="1" applyBorder="1" applyAlignment="1">
      <alignment horizontal="right" vertical="center" wrapText="1"/>
    </xf>
    <xf numFmtId="3" fontId="9" fillId="0" borderId="4" xfId="4" applyNumberFormat="1" applyFont="1" applyBorder="1" applyAlignment="1">
      <alignment horizontal="right" vertical="center" wrapText="1"/>
    </xf>
    <xf numFmtId="0" fontId="7" fillId="0" borderId="4" xfId="4" applyFont="1" applyBorder="1" applyAlignment="1">
      <alignment horizontal="left" vertical="center" wrapText="1"/>
    </xf>
    <xf numFmtId="3" fontId="7" fillId="0" borderId="0" xfId="4" applyNumberFormat="1" applyFont="1" applyAlignment="1">
      <alignment horizontal="right" vertical="center"/>
    </xf>
    <xf numFmtId="3" fontId="7" fillId="19" borderId="4" xfId="4" applyNumberFormat="1" applyFont="1" applyFill="1" applyBorder="1" applyAlignment="1">
      <alignment horizontal="right" vertical="center"/>
    </xf>
    <xf numFmtId="3" fontId="7" fillId="19" borderId="4" xfId="4" applyNumberFormat="1" applyFont="1" applyFill="1" applyBorder="1" applyAlignment="1">
      <alignment horizontal="right" vertical="center" wrapText="1"/>
    </xf>
    <xf numFmtId="3" fontId="11" fillId="0" borderId="0" xfId="4" applyNumberFormat="1" applyFont="1" applyAlignment="1">
      <alignment vertical="center"/>
    </xf>
    <xf numFmtId="0" fontId="10" fillId="0" borderId="0" xfId="4" applyFont="1" applyAlignment="1">
      <alignment vertical="center"/>
    </xf>
    <xf numFmtId="0" fontId="8" fillId="17" borderId="5" xfId="4" applyFont="1" applyFill="1" applyBorder="1" applyAlignment="1">
      <alignment horizontal="left" vertical="center" wrapText="1"/>
    </xf>
    <xf numFmtId="3" fontId="8" fillId="17" borderId="5" xfId="4" applyNumberFormat="1" applyFont="1" applyFill="1" applyBorder="1" applyAlignment="1">
      <alignment horizontal="right" vertical="center"/>
    </xf>
    <xf numFmtId="164" fontId="1" fillId="0" borderId="0" xfId="4" applyNumberFormat="1" applyFont="1" applyAlignment="1">
      <alignment vertical="center"/>
    </xf>
    <xf numFmtId="0" fontId="12" fillId="0" borderId="0" xfId="4" applyFont="1"/>
    <xf numFmtId="0" fontId="12" fillId="0" borderId="0" xfId="4" applyFont="1" applyAlignment="1">
      <alignment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24" fillId="0" borderId="1" xfId="18" applyNumberFormat="1" applyFont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Alignment="1">
      <alignment horizontal="center" vertical="center" justifyLastLine="1"/>
    </xf>
    <xf numFmtId="3" fontId="15" fillId="0" borderId="6" xfId="2" applyNumberFormat="1" applyFont="1" applyBorder="1" applyAlignment="1">
      <alignment vertical="center"/>
    </xf>
    <xf numFmtId="3" fontId="15" fillId="0" borderId="8" xfId="2" applyNumberFormat="1" applyFont="1" applyBorder="1" applyAlignment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/>
    <xf numFmtId="0" fontId="58" fillId="17" borderId="5" xfId="4" applyFont="1" applyFill="1" applyBorder="1" applyAlignment="1">
      <alignment horizontal="center" vertical="center" wrapText="1"/>
    </xf>
    <xf numFmtId="0" fontId="2" fillId="53" borderId="21" xfId="4" applyFont="1" applyFill="1" applyBorder="1" applyAlignment="1">
      <alignment horizontal="left" vertical="center" wrapText="1"/>
    </xf>
    <xf numFmtId="0" fontId="2" fillId="53" borderId="27" xfId="4" applyFont="1" applyFill="1" applyBorder="1" applyAlignment="1">
      <alignment horizontal="left" vertical="center" wrapText="1"/>
    </xf>
    <xf numFmtId="0" fontId="51" fillId="0" borderId="0" xfId="0" applyFont="1"/>
    <xf numFmtId="0" fontId="59" fillId="0" borderId="6" xfId="5" applyFont="1" applyBorder="1" applyAlignment="1">
      <alignment horizontal="left" vertical="center"/>
    </xf>
    <xf numFmtId="14" fontId="24" fillId="0" borderId="1" xfId="18" applyNumberFormat="1" applyFont="1" applyProtection="1">
      <alignment horizontal="right" vertical="center"/>
      <protection locked="0"/>
    </xf>
    <xf numFmtId="0" fontId="24" fillId="0" borderId="1" xfId="18" applyNumberFormat="1" applyFont="1" applyProtection="1">
      <alignment horizontal="right" vertical="center"/>
      <protection locked="0"/>
    </xf>
    <xf numFmtId="0" fontId="58" fillId="17" borderId="1" xfId="4" applyFont="1" applyFill="1" applyBorder="1" applyAlignment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Border="1" applyAlignment="1">
      <alignment horizontal="left"/>
    </xf>
    <xf numFmtId="0" fontId="31" fillId="12" borderId="0" xfId="2" applyFont="1" applyFill="1" applyAlignment="1">
      <alignment horizontal="center" vertical="center"/>
    </xf>
    <xf numFmtId="0" fontId="60" fillId="12" borderId="5" xfId="2" applyFont="1" applyFill="1" applyBorder="1" applyAlignment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>
      <alignment horizontal="left" vertical="center" indent="1" justifyLastLine="1"/>
    </xf>
    <xf numFmtId="49" fontId="53" fillId="0" borderId="30" xfId="0" applyNumberFormat="1" applyFont="1" applyBorder="1" applyAlignment="1">
      <alignment horizontal="center" vertical="center"/>
    </xf>
    <xf numFmtId="49" fontId="53" fillId="52" borderId="6" xfId="2" applyNumberFormat="1" applyFont="1" applyFill="1" applyBorder="1" applyAlignment="1">
      <alignment horizontal="left" vertical="center"/>
    </xf>
    <xf numFmtId="49" fontId="0" fillId="0" borderId="0" xfId="0" applyNumberFormat="1" applyAlignment="1">
      <alignment horizontal="left"/>
    </xf>
    <xf numFmtId="1" fontId="53" fillId="0" borderId="29" xfId="0" applyNumberFormat="1" applyFont="1" applyBorder="1" applyAlignment="1">
      <alignment horizontal="right" vertical="center"/>
    </xf>
    <xf numFmtId="168" fontId="53" fillId="0" borderId="29" xfId="0" applyNumberFormat="1" applyFont="1" applyBorder="1" applyAlignment="1">
      <alignment horizontal="center" vertical="center"/>
    </xf>
    <xf numFmtId="167" fontId="53" fillId="0" borderId="28" xfId="0" applyNumberFormat="1" applyFont="1" applyBorder="1" applyAlignment="1">
      <alignment horizontal="center" vertical="center"/>
    </xf>
    <xf numFmtId="0" fontId="53" fillId="0" borderId="29" xfId="0" applyFont="1" applyBorder="1" applyAlignment="1">
      <alignment horizontal="left" vertical="center"/>
    </xf>
    <xf numFmtId="0" fontId="53" fillId="0" borderId="29" xfId="0" applyFont="1" applyBorder="1" applyAlignment="1">
      <alignment vertical="center"/>
    </xf>
    <xf numFmtId="0" fontId="53" fillId="0" borderId="29" xfId="74" applyFont="1" applyBorder="1" applyAlignment="1">
      <alignment horizontal="left" vertical="center"/>
    </xf>
    <xf numFmtId="168" fontId="53" fillId="0" borderId="29" xfId="74" applyNumberFormat="1" applyFont="1" applyBorder="1" applyAlignment="1">
      <alignment horizontal="center" vertical="center"/>
    </xf>
    <xf numFmtId="168" fontId="53" fillId="0" borderId="29" xfId="0" quotePrefix="1" applyNumberFormat="1" applyFont="1" applyBorder="1" applyAlignment="1">
      <alignment horizontal="center" vertical="center"/>
    </xf>
    <xf numFmtId="0" fontId="53" fillId="0" borderId="29" xfId="0" applyFont="1" applyBorder="1"/>
    <xf numFmtId="168" fontId="53" fillId="0" borderId="29" xfId="0" applyNumberFormat="1" applyFont="1" applyBorder="1" applyAlignment="1">
      <alignment horizontal="left" vertical="center"/>
    </xf>
    <xf numFmtId="0" fontId="53" fillId="52" borderId="29" xfId="2" applyFont="1" applyFill="1" applyBorder="1" applyAlignment="1">
      <alignment horizontal="left" vertical="center"/>
    </xf>
    <xf numFmtId="0" fontId="62" fillId="0" borderId="0" xfId="4" applyFont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Alignment="1">
      <alignment horizontal="left" vertical="center"/>
    </xf>
    <xf numFmtId="0" fontId="61" fillId="0" borderId="0" xfId="0" applyFont="1"/>
    <xf numFmtId="0" fontId="66" fillId="12" borderId="5" xfId="2" applyFont="1" applyFill="1" applyBorder="1" applyAlignment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9" fontId="13" fillId="3" borderId="1" xfId="13" quotePrefix="1" applyNumberFormat="1" applyAlignment="1">
      <alignment horizontal="left" vertical="center" indent="2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>
      <alignment horizontal="center" vertical="center" wrapText="1"/>
    </xf>
    <xf numFmtId="166" fontId="11" fillId="0" borderId="6" xfId="2" applyNumberFormat="1" applyFont="1" applyBorder="1" applyAlignment="1" applyProtection="1">
      <alignment vertical="center"/>
      <protection locked="0"/>
    </xf>
    <xf numFmtId="169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0" fillId="0" borderId="0" xfId="0" applyAlignment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22" fillId="0" borderId="0" xfId="132"/>
    <xf numFmtId="0" fontId="75" fillId="0" borderId="36" xfId="73" applyFont="1" applyBorder="1" applyAlignment="1">
      <alignment horizontal="center" vertical="center" wrapText="1"/>
    </xf>
    <xf numFmtId="0" fontId="75" fillId="0" borderId="37" xfId="73" applyFont="1" applyBorder="1" applyAlignment="1">
      <alignment horizontal="center" vertical="center" wrapText="1"/>
    </xf>
    <xf numFmtId="0" fontId="75" fillId="0" borderId="38" xfId="73" applyFont="1" applyBorder="1" applyAlignment="1">
      <alignment horizontal="center" vertical="center" wrapText="1"/>
    </xf>
    <xf numFmtId="49" fontId="25" fillId="0" borderId="39" xfId="73" applyNumberFormat="1" applyFont="1" applyBorder="1" applyAlignment="1">
      <alignment horizontal="center" vertical="center" wrapText="1"/>
    </xf>
    <xf numFmtId="49" fontId="25" fillId="0" borderId="40" xfId="73" applyNumberFormat="1" applyFont="1" applyBorder="1" applyAlignment="1">
      <alignment horizontal="center" vertical="center" wrapText="1"/>
    </xf>
    <xf numFmtId="0" fontId="25" fillId="0" borderId="40" xfId="73" applyFont="1" applyBorder="1" applyAlignment="1">
      <alignment horizontal="center" vertical="center" wrapText="1"/>
    </xf>
    <xf numFmtId="0" fontId="25" fillId="0" borderId="40" xfId="132" applyFont="1" applyBorder="1" applyAlignment="1">
      <alignment horizontal="center" vertical="center"/>
    </xf>
    <xf numFmtId="0" fontId="25" fillId="0" borderId="41" xfId="132" applyFont="1" applyBorder="1" applyAlignment="1">
      <alignment horizontal="center" vertical="center"/>
    </xf>
    <xf numFmtId="0" fontId="76" fillId="0" borderId="0" xfId="132" applyFont="1"/>
    <xf numFmtId="167" fontId="75" fillId="0" borderId="28" xfId="132" applyNumberFormat="1" applyFont="1" applyBorder="1" applyAlignment="1">
      <alignment horizontal="center" vertical="center" wrapText="1"/>
    </xf>
    <xf numFmtId="0" fontId="75" fillId="0" borderId="37" xfId="132" applyFont="1" applyBorder="1" applyAlignment="1">
      <alignment horizontal="center" vertical="center" wrapText="1"/>
    </xf>
    <xf numFmtId="0" fontId="75" fillId="0" borderId="42" xfId="132" applyFont="1" applyBorder="1" applyAlignment="1">
      <alignment horizontal="left" vertical="center" wrapText="1" indent="1"/>
    </xf>
    <xf numFmtId="168" fontId="75" fillId="0" borderId="42" xfId="132" applyNumberFormat="1" applyFont="1" applyBorder="1" applyAlignment="1">
      <alignment horizontal="center" vertical="center" wrapText="1"/>
    </xf>
    <xf numFmtId="49" fontId="75" fillId="0" borderId="43" xfId="132" applyNumberFormat="1" applyFont="1" applyBorder="1" applyAlignment="1">
      <alignment horizontal="center" vertical="center"/>
    </xf>
    <xf numFmtId="0" fontId="26" fillId="0" borderId="0" xfId="132" applyFont="1"/>
    <xf numFmtId="0" fontId="75" fillId="0" borderId="42" xfId="132" applyFont="1" applyBorder="1" applyAlignment="1">
      <alignment horizontal="center" vertical="center" wrapText="1"/>
    </xf>
    <xf numFmtId="0" fontId="75" fillId="0" borderId="29" xfId="132" applyFont="1" applyBorder="1" applyAlignment="1">
      <alignment horizontal="center" vertical="center" wrapText="1"/>
    </xf>
    <xf numFmtId="0" fontId="75" fillId="0" borderId="29" xfId="132" applyFont="1" applyBorder="1" applyAlignment="1">
      <alignment horizontal="left" vertical="center" wrapText="1" indent="1"/>
    </xf>
    <xf numFmtId="168" fontId="75" fillId="0" borderId="29" xfId="132" applyNumberFormat="1" applyFont="1" applyBorder="1" applyAlignment="1">
      <alignment horizontal="center" vertical="center" wrapText="1"/>
    </xf>
    <xf numFmtId="49" fontId="75" fillId="0" borderId="30" xfId="132" applyNumberFormat="1" applyFont="1" applyBorder="1" applyAlignment="1">
      <alignment horizontal="center" vertical="center"/>
    </xf>
    <xf numFmtId="167" fontId="53" fillId="0" borderId="28" xfId="132" applyNumberFormat="1" applyFont="1" applyBorder="1" applyAlignment="1">
      <alignment horizontal="center" vertical="center" wrapText="1"/>
    </xf>
    <xf numFmtId="0" fontId="53" fillId="0" borderId="29" xfId="132" applyFont="1" applyBorder="1" applyAlignment="1">
      <alignment horizontal="center" vertical="center" wrapText="1"/>
    </xf>
    <xf numFmtId="0" fontId="53" fillId="0" borderId="29" xfId="132" applyFont="1" applyBorder="1" applyAlignment="1">
      <alignment horizontal="left" vertical="center" wrapText="1" indent="1"/>
    </xf>
    <xf numFmtId="168" fontId="53" fillId="0" borderId="29" xfId="132" applyNumberFormat="1" applyFont="1" applyBorder="1" applyAlignment="1">
      <alignment horizontal="center" vertical="center" wrapText="1"/>
    </xf>
    <xf numFmtId="49" fontId="53" fillId="0" borderId="30" xfId="132" applyNumberFormat="1" applyFont="1" applyBorder="1" applyAlignment="1">
      <alignment horizontal="center" vertical="center"/>
    </xf>
    <xf numFmtId="168" fontId="53" fillId="0" borderId="29" xfId="132" quotePrefix="1" applyNumberFormat="1" applyFont="1" applyBorder="1" applyAlignment="1">
      <alignment horizontal="center" vertical="center" wrapText="1"/>
    </xf>
    <xf numFmtId="0" fontId="53" fillId="0" borderId="3" xfId="132" applyFont="1" applyBorder="1" applyAlignment="1">
      <alignment horizontal="left" vertical="center" wrapText="1" indent="1"/>
    </xf>
    <xf numFmtId="168" fontId="75" fillId="0" borderId="29" xfId="132" quotePrefix="1" applyNumberFormat="1" applyFont="1" applyBorder="1" applyAlignment="1">
      <alignment horizontal="center" vertical="center" wrapText="1"/>
    </xf>
    <xf numFmtId="0" fontId="75" fillId="0" borderId="29" xfId="132" applyFont="1" applyBorder="1" applyAlignment="1">
      <alignment horizontal="left" vertical="center" indent="1"/>
    </xf>
    <xf numFmtId="0" fontId="53" fillId="0" borderId="29" xfId="133" applyFont="1" applyBorder="1" applyAlignment="1">
      <alignment horizontal="left" vertical="center" wrapText="1" indent="1"/>
    </xf>
    <xf numFmtId="168" fontId="53" fillId="0" borderId="29" xfId="132" applyNumberFormat="1" applyFont="1" applyBorder="1" applyAlignment="1">
      <alignment horizontal="center" vertical="center"/>
    </xf>
    <xf numFmtId="168" fontId="53" fillId="0" borderId="29" xfId="132" applyNumberFormat="1" applyFont="1" applyBorder="1" applyAlignment="1">
      <alignment horizontal="left" vertical="center" wrapText="1" indent="1"/>
    </xf>
    <xf numFmtId="0" fontId="53" fillId="0" borderId="29" xfId="132" applyFont="1" applyBorder="1" applyAlignment="1">
      <alignment horizontal="left" vertical="center" indent="1"/>
    </xf>
    <xf numFmtId="0" fontId="53" fillId="0" borderId="44" xfId="132" applyFont="1" applyBorder="1" applyAlignment="1">
      <alignment horizontal="left" vertical="center" wrapText="1" indent="1"/>
    </xf>
    <xf numFmtId="49" fontId="53" fillId="0" borderId="29" xfId="132" applyNumberFormat="1" applyFont="1" applyBorder="1" applyAlignment="1">
      <alignment horizontal="center" vertical="center" wrapText="1"/>
    </xf>
    <xf numFmtId="49" fontId="53" fillId="0" borderId="44" xfId="132" applyNumberFormat="1" applyFont="1" applyBorder="1" applyAlignment="1">
      <alignment horizontal="center" vertical="center" wrapText="1"/>
    </xf>
    <xf numFmtId="0" fontId="53" fillId="0" borderId="29" xfId="74" applyFont="1" applyBorder="1" applyAlignment="1">
      <alignment horizontal="left" vertical="center" wrapText="1" indent="1"/>
    </xf>
    <xf numFmtId="168" fontId="53" fillId="0" borderId="29" xfId="74" applyNumberFormat="1" applyFont="1" applyBorder="1" applyAlignment="1">
      <alignment horizontal="center" vertical="center" wrapText="1"/>
    </xf>
    <xf numFmtId="0" fontId="77" fillId="0" borderId="0" xfId="132" applyFont="1"/>
    <xf numFmtId="0" fontId="53" fillId="0" borderId="29" xfId="73" applyFont="1" applyBorder="1" applyAlignment="1">
      <alignment horizontal="left" vertical="center" wrapText="1" indent="1"/>
    </xf>
    <xf numFmtId="0" fontId="53" fillId="0" borderId="30" xfId="132" applyFont="1" applyBorder="1" applyAlignment="1">
      <alignment horizontal="right" vertical="center" wrapText="1"/>
    </xf>
    <xf numFmtId="49" fontId="53" fillId="0" borderId="29" xfId="132" quotePrefix="1" applyNumberFormat="1" applyFont="1" applyBorder="1" applyAlignment="1">
      <alignment horizontal="center" vertical="center" wrapText="1"/>
    </xf>
    <xf numFmtId="0" fontId="53" fillId="0" borderId="30" xfId="132" quotePrefix="1" applyFont="1" applyBorder="1" applyAlignment="1">
      <alignment horizontal="center" vertical="center" wrapText="1"/>
    </xf>
    <xf numFmtId="49" fontId="53" fillId="0" borderId="30" xfId="132" quotePrefix="1" applyNumberFormat="1" applyFont="1" applyBorder="1" applyAlignment="1">
      <alignment horizontal="center" vertical="center"/>
    </xf>
    <xf numFmtId="0" fontId="75" fillId="0" borderId="0" xfId="132" applyFont="1" applyAlignment="1">
      <alignment horizontal="left" vertical="center" wrapText="1" indent="1"/>
    </xf>
    <xf numFmtId="0" fontId="53" fillId="0" borderId="30" xfId="132" applyFont="1" applyBorder="1" applyAlignment="1">
      <alignment horizontal="center" vertical="center" wrapText="1"/>
    </xf>
    <xf numFmtId="1" fontId="53" fillId="0" borderId="29" xfId="132" applyNumberFormat="1" applyFont="1" applyBorder="1" applyAlignment="1">
      <alignment horizontal="left" vertical="center" wrapText="1" indent="1"/>
    </xf>
    <xf numFmtId="0" fontId="75" fillId="0" borderId="40" xfId="132" applyFont="1" applyBorder="1" applyAlignment="1">
      <alignment horizontal="left" vertical="center" wrapText="1" indent="1"/>
    </xf>
    <xf numFmtId="168" fontId="75" fillId="0" borderId="40" xfId="132" applyNumberFormat="1" applyFont="1" applyBorder="1" applyAlignment="1">
      <alignment horizontal="center" vertical="center" wrapText="1"/>
    </xf>
    <xf numFmtId="49" fontId="75" fillId="0" borderId="41" xfId="132" applyNumberFormat="1" applyFont="1" applyBorder="1" applyAlignment="1">
      <alignment horizontal="center" vertical="center"/>
    </xf>
    <xf numFmtId="0" fontId="22" fillId="0" borderId="0" xfId="132" applyAlignment="1">
      <alignment horizontal="center" vertical="center"/>
    </xf>
    <xf numFmtId="0" fontId="22" fillId="0" borderId="0" xfId="132" applyAlignment="1">
      <alignment vertical="center"/>
    </xf>
    <xf numFmtId="0" fontId="22" fillId="0" borderId="0" xfId="132" applyAlignment="1">
      <alignment horizontal="left" vertical="center" indent="1"/>
    </xf>
    <xf numFmtId="0" fontId="22" fillId="0" borderId="0" xfId="132" applyAlignment="1">
      <alignment horizontal="center"/>
    </xf>
    <xf numFmtId="0" fontId="26" fillId="0" borderId="0" xfId="132" applyFont="1" applyAlignment="1">
      <alignment horizontal="center"/>
    </xf>
    <xf numFmtId="0" fontId="22" fillId="0" borderId="6" xfId="132" applyBorder="1" applyAlignment="1">
      <alignment horizontal="center" vertical="center"/>
    </xf>
    <xf numFmtId="0" fontId="58" fillId="17" borderId="0" xfId="4" applyFont="1" applyFill="1" applyAlignment="1">
      <alignment horizontal="center" vertical="center" wrapText="1"/>
    </xf>
    <xf numFmtId="0" fontId="7" fillId="0" borderId="4" xfId="4" quotePrefix="1" applyFont="1" applyBorder="1" applyAlignment="1">
      <alignment horizontal="left" vertical="center" wrapText="1"/>
    </xf>
    <xf numFmtId="0" fontId="6" fillId="0" borderId="0" xfId="4" applyFont="1" applyAlignment="1">
      <alignment horizontal="center" vertical="center" wrapText="1"/>
    </xf>
    <xf numFmtId="0" fontId="56" fillId="0" borderId="0" xfId="2" applyFont="1" applyAlignment="1">
      <alignment horizontal="center" vertical="center" wrapText="1"/>
    </xf>
    <xf numFmtId="0" fontId="6" fillId="0" borderId="34" xfId="2" applyFont="1" applyBorder="1" applyAlignment="1">
      <alignment horizontal="center"/>
    </xf>
    <xf numFmtId="0" fontId="78" fillId="0" borderId="0" xfId="0" applyFont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Font="1" applyAlignment="1">
      <alignment vertical="center" wrapText="1"/>
    </xf>
    <xf numFmtId="0" fontId="79" fillId="20" borderId="6" xfId="2" applyFont="1" applyFill="1" applyBorder="1" applyAlignment="1">
      <alignment vertical="center" wrapText="1"/>
    </xf>
    <xf numFmtId="0" fontId="0" fillId="0" borderId="0" xfId="0" applyAlignment="1">
      <alignment wrapText="1"/>
    </xf>
    <xf numFmtId="0" fontId="11" fillId="0" borderId="6" xfId="6" applyFont="1" applyBorder="1" applyAlignment="1">
      <alignment horizontal="right" vertical="center" wrapText="1"/>
    </xf>
    <xf numFmtId="0" fontId="20" fillId="13" borderId="6" xfId="6" applyFont="1" applyFill="1" applyBorder="1" applyAlignment="1">
      <alignment horizontal="center" vertical="center" wrapText="1"/>
    </xf>
    <xf numFmtId="0" fontId="16" fillId="12" borderId="5" xfId="2" applyFont="1" applyFill="1" applyBorder="1" applyAlignment="1">
      <alignment horizontal="right" vertical="center" wrapText="1"/>
    </xf>
    <xf numFmtId="0" fontId="20" fillId="13" borderId="6" xfId="6" applyFont="1" applyFill="1" applyBorder="1" applyAlignment="1">
      <alignment horizontal="right" vertical="center" wrapText="1"/>
    </xf>
    <xf numFmtId="0" fontId="13" fillId="0" borderId="1" xfId="119" quotePrefix="1" applyNumberFormat="1" applyFill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49" fontId="0" fillId="0" borderId="0" xfId="0" applyNumberFormat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Alignment="1" applyProtection="1">
      <alignment horizontal="left" vertical="center"/>
      <protection locked="0"/>
    </xf>
    <xf numFmtId="1" fontId="81" fillId="0" borderId="29" xfId="0" applyNumberFormat="1" applyFont="1" applyBorder="1" applyAlignment="1">
      <alignment horizontal="right" vertical="center"/>
    </xf>
    <xf numFmtId="0" fontId="81" fillId="0" borderId="29" xfId="0" applyFont="1" applyBorder="1" applyAlignment="1">
      <alignment horizontal="left" vertical="center"/>
    </xf>
    <xf numFmtId="0" fontId="81" fillId="52" borderId="29" xfId="2" applyFont="1" applyFill="1" applyBorder="1" applyAlignment="1">
      <alignment horizontal="left" vertical="center"/>
    </xf>
    <xf numFmtId="168" fontId="81" fillId="0" borderId="29" xfId="0" applyNumberFormat="1" applyFont="1" applyBorder="1" applyAlignment="1">
      <alignment horizontal="center" vertical="center"/>
    </xf>
    <xf numFmtId="49" fontId="81" fillId="0" borderId="30" xfId="0" applyNumberFormat="1" applyFont="1" applyBorder="1" applyAlignment="1">
      <alignment horizontal="center" vertical="center"/>
    </xf>
    <xf numFmtId="0" fontId="35" fillId="20" borderId="6" xfId="2" applyFont="1" applyFill="1" applyBorder="1" applyAlignment="1">
      <alignment horizontal="center" vertical="center" wrapText="1"/>
    </xf>
    <xf numFmtId="0" fontId="11" fillId="0" borderId="6" xfId="6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>
      <alignment horizontal="center" vertical="center" wrapText="1"/>
    </xf>
    <xf numFmtId="0" fontId="83" fillId="0" borderId="1" xfId="119" quotePrefix="1" applyNumberFormat="1" applyFont="1" applyFill="1">
      <alignment horizontal="left" vertical="center" indent="1"/>
    </xf>
    <xf numFmtId="0" fontId="83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Border="1" applyAlignment="1">
      <alignment horizontal="right" vertical="center" wrapText="1"/>
    </xf>
    <xf numFmtId="3" fontId="20" fillId="13" borderId="6" xfId="6" applyNumberFormat="1" applyFont="1" applyFill="1" applyBorder="1" applyAlignment="1">
      <alignment horizontal="right" vertical="center" wrapText="1"/>
    </xf>
    <xf numFmtId="3" fontId="35" fillId="20" borderId="6" xfId="2" applyNumberFormat="1" applyFont="1" applyFill="1" applyBorder="1" applyAlignment="1">
      <alignment horizontal="right" vertical="center" wrapText="1"/>
    </xf>
    <xf numFmtId="3" fontId="0" fillId="0" borderId="0" xfId="0" applyNumberFormat="1"/>
    <xf numFmtId="0" fontId="84" fillId="0" borderId="0" xfId="0" applyFont="1" applyAlignment="1">
      <alignment horizontal="right"/>
    </xf>
    <xf numFmtId="3" fontId="20" fillId="13" borderId="6" xfId="6" applyNumberFormat="1" applyFont="1" applyFill="1" applyBorder="1" applyAlignment="1">
      <alignment vertical="center" wrapText="1"/>
    </xf>
    <xf numFmtId="1" fontId="16" fillId="12" borderId="46" xfId="2" applyNumberFormat="1" applyFont="1" applyFill="1" applyBorder="1" applyAlignment="1">
      <alignment horizontal="left" vertical="center" wrapText="1"/>
    </xf>
    <xf numFmtId="0" fontId="11" fillId="0" borderId="6" xfId="2" applyFont="1" applyBorder="1" applyAlignment="1">
      <alignment vertical="center"/>
    </xf>
    <xf numFmtId="0" fontId="16" fillId="12" borderId="46" xfId="2" applyFont="1" applyFill="1" applyBorder="1" applyAlignment="1">
      <alignment horizontal="center" vertical="center" wrapText="1"/>
    </xf>
    <xf numFmtId="0" fontId="4" fillId="6" borderId="6" xfId="2" applyFont="1" applyFill="1" applyBorder="1" applyAlignment="1">
      <alignment vertical="center"/>
    </xf>
    <xf numFmtId="0" fontId="25" fillId="52" borderId="1" xfId="19" applyNumberFormat="1" applyFont="1" applyFill="1" applyAlignment="1" applyProtection="1">
      <alignment horizontal="center" vertical="center" justifyLastLine="1"/>
      <protection locked="0"/>
    </xf>
    <xf numFmtId="0" fontId="86" fillId="0" borderId="6" xfId="0" applyFont="1" applyBorder="1" applyAlignment="1" applyProtection="1">
      <alignment horizontal="center"/>
      <protection locked="0"/>
    </xf>
    <xf numFmtId="3" fontId="86" fillId="0" borderId="6" xfId="0" applyNumberFormat="1" applyFont="1" applyBorder="1" applyProtection="1">
      <protection locked="0"/>
    </xf>
    <xf numFmtId="1" fontId="86" fillId="0" borderId="6" xfId="0" applyNumberFormat="1" applyFont="1" applyBorder="1" applyProtection="1">
      <protection locked="0"/>
    </xf>
    <xf numFmtId="0" fontId="24" fillId="0" borderId="6" xfId="18" applyNumberFormat="1" applyFont="1" applyBorder="1" applyProtection="1">
      <alignment horizontal="right" vertical="center"/>
      <protection locked="0"/>
    </xf>
    <xf numFmtId="0" fontId="6" fillId="0" borderId="0" xfId="4" applyFont="1" applyAlignment="1">
      <alignment horizontal="center" vertical="center" wrapText="1"/>
    </xf>
    <xf numFmtId="0" fontId="3" fillId="0" borderId="0" xfId="4" applyFont="1"/>
    <xf numFmtId="0" fontId="7" fillId="0" borderId="0" xfId="4" applyFont="1" applyAlignment="1">
      <alignment horizontal="center" vertical="center" wrapText="1"/>
    </xf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54" fillId="0" borderId="17" xfId="0" applyFont="1" applyBorder="1"/>
    <xf numFmtId="0" fontId="54" fillId="0" borderId="0" xfId="0" applyFont="1"/>
    <xf numFmtId="0" fontId="56" fillId="0" borderId="0" xfId="2" applyFont="1" applyAlignment="1">
      <alignment horizontal="center" vertical="center" wrapText="1"/>
    </xf>
    <xf numFmtId="1" fontId="16" fillId="12" borderId="11" xfId="2" applyNumberFormat="1" applyFont="1" applyFill="1" applyBorder="1" applyAlignment="1">
      <alignment horizontal="center" vertical="center" wrapText="1"/>
    </xf>
    <xf numFmtId="1" fontId="16" fillId="12" borderId="13" xfId="2" applyNumberFormat="1" applyFont="1" applyFill="1" applyBorder="1" applyAlignment="1">
      <alignment horizontal="center" vertical="center" wrapText="1"/>
    </xf>
    <xf numFmtId="0" fontId="31" fillId="12" borderId="11" xfId="2" applyFont="1" applyFill="1" applyBorder="1" applyAlignment="1">
      <alignment horizontal="center" vertical="center"/>
    </xf>
    <xf numFmtId="0" fontId="31" fillId="12" borderId="14" xfId="2" applyFont="1" applyFill="1" applyBorder="1" applyAlignment="1">
      <alignment horizontal="center" vertical="center"/>
    </xf>
    <xf numFmtId="0" fontId="31" fillId="12" borderId="13" xfId="2" applyFont="1" applyFill="1" applyBorder="1" applyAlignment="1">
      <alignment horizontal="center" vertical="center"/>
    </xf>
    <xf numFmtId="0" fontId="26" fillId="0" borderId="35" xfId="132" applyFont="1" applyBorder="1" applyAlignment="1">
      <alignment horizontal="center" vertical="center"/>
    </xf>
    <xf numFmtId="0" fontId="53" fillId="0" borderId="45" xfId="132" applyFont="1" applyBorder="1" applyAlignment="1">
      <alignment horizontal="left" vertical="center" wrapText="1"/>
    </xf>
  </cellXfs>
  <cellStyles count="134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" xfId="0" builtinId="0"/>
    <cellStyle name="Normal 2" xfId="2" xr:uid="{00000000-0005-0000-0000-000017000000}"/>
    <cellStyle name="Normal 2 2" xfId="117" xr:uid="{00000000-0005-0000-0000-000018000000}"/>
    <cellStyle name="Normal 2 3" xfId="132" xr:uid="{00000000-0005-0000-0000-000019000000}"/>
    <cellStyle name="Normal 3" xfId="20" xr:uid="{00000000-0005-0000-0000-00001A000000}"/>
    <cellStyle name="Normal 3 3" xfId="3" xr:uid="{00000000-0005-0000-0000-00001B000000}"/>
    <cellStyle name="Normal 4" xfId="77" xr:uid="{00000000-0005-0000-0000-00001C000000}"/>
    <cellStyle name="Normal 6" xfId="4" xr:uid="{00000000-0005-0000-0000-00001D000000}"/>
    <cellStyle name="Obično_01_ZAGREBAČKA ŽUPANIJA" xfId="73" xr:uid="{00000000-0005-0000-0000-00001F000000}"/>
    <cellStyle name="Obično_14_OSJEČKO-BARANJSKA ŽUPANIJA" xfId="74" xr:uid="{00000000-0005-0000-0000-000020000000}"/>
    <cellStyle name="Obično_21_GRAD ZAGREB" xfId="133" xr:uid="{00000000-0005-0000-0000-000021000000}"/>
    <cellStyle name="Obično_List4" xfId="5" xr:uid="{00000000-0005-0000-0000-000022000000}"/>
    <cellStyle name="Obično_List7" xfId="6" xr:uid="{00000000-0005-0000-0000-000023000000}"/>
    <cellStyle name="Obično_List8" xfId="7" xr:uid="{00000000-0005-0000-0000-000024000000}"/>
    <cellStyle name="Obično_List9" xfId="8" xr:uid="{00000000-0005-0000-0000-000025000000}"/>
    <cellStyle name="SAPBEXaggData" xfId="9" xr:uid="{00000000-0005-0000-0000-000026000000}"/>
    <cellStyle name="SAPBEXaggData 2" xfId="78" xr:uid="{00000000-0005-0000-0000-000027000000}"/>
    <cellStyle name="SAPBEXaggDataEmph" xfId="42" xr:uid="{00000000-0005-0000-0000-000028000000}"/>
    <cellStyle name="SAPBEXaggDataEmph 2" xfId="79" xr:uid="{00000000-0005-0000-0000-000029000000}"/>
    <cellStyle name="SAPBEXaggItem" xfId="10" xr:uid="{00000000-0005-0000-0000-00002A000000}"/>
    <cellStyle name="SAPBEXaggItem 2" xfId="80" xr:uid="{00000000-0005-0000-0000-00002B000000}"/>
    <cellStyle name="SAPBEXaggItem 3" xfId="118" xr:uid="{00000000-0005-0000-0000-00002C000000}"/>
    <cellStyle name="SAPBEXaggItemX" xfId="43" xr:uid="{00000000-0005-0000-0000-00002D000000}"/>
    <cellStyle name="SAPBEXaggItemX 2" xfId="81" xr:uid="{00000000-0005-0000-0000-00002E000000}"/>
    <cellStyle name="SAPBEXchaText" xfId="11" xr:uid="{00000000-0005-0000-0000-00002F000000}"/>
    <cellStyle name="SAPBEXchaText 2" xfId="82" xr:uid="{00000000-0005-0000-0000-000030000000}"/>
    <cellStyle name="SAPBEXchaText 3" xfId="119" xr:uid="{00000000-0005-0000-0000-000031000000}"/>
    <cellStyle name="SAPBEXexcBad7" xfId="44" xr:uid="{00000000-0005-0000-0000-000032000000}"/>
    <cellStyle name="SAPBEXexcBad7 2" xfId="83" xr:uid="{00000000-0005-0000-0000-000033000000}"/>
    <cellStyle name="SAPBEXexcBad8" xfId="45" xr:uid="{00000000-0005-0000-0000-000034000000}"/>
    <cellStyle name="SAPBEXexcBad8 2" xfId="84" xr:uid="{00000000-0005-0000-0000-000035000000}"/>
    <cellStyle name="SAPBEXexcBad9" xfId="46" xr:uid="{00000000-0005-0000-0000-000036000000}"/>
    <cellStyle name="SAPBEXexcBad9 2" xfId="85" xr:uid="{00000000-0005-0000-0000-000037000000}"/>
    <cellStyle name="SAPBEXexcCritical4" xfId="47" xr:uid="{00000000-0005-0000-0000-000038000000}"/>
    <cellStyle name="SAPBEXexcCritical4 2" xfId="86" xr:uid="{00000000-0005-0000-0000-000039000000}"/>
    <cellStyle name="SAPBEXexcCritical5" xfId="48" xr:uid="{00000000-0005-0000-0000-00003A000000}"/>
    <cellStyle name="SAPBEXexcCritical5 2" xfId="87" xr:uid="{00000000-0005-0000-0000-00003B000000}"/>
    <cellStyle name="SAPBEXexcCritical6" xfId="49" xr:uid="{00000000-0005-0000-0000-00003C000000}"/>
    <cellStyle name="SAPBEXexcCritical6 2" xfId="88" xr:uid="{00000000-0005-0000-0000-00003D000000}"/>
    <cellStyle name="SAPBEXexcGood1" xfId="50" xr:uid="{00000000-0005-0000-0000-00003E000000}"/>
    <cellStyle name="SAPBEXexcGood1 2" xfId="89" xr:uid="{00000000-0005-0000-0000-00003F000000}"/>
    <cellStyle name="SAPBEXexcGood2" xfId="51" xr:uid="{00000000-0005-0000-0000-000040000000}"/>
    <cellStyle name="SAPBEXexcGood2 2" xfId="90" xr:uid="{00000000-0005-0000-0000-000041000000}"/>
    <cellStyle name="SAPBEXexcGood3" xfId="52" xr:uid="{00000000-0005-0000-0000-000042000000}"/>
    <cellStyle name="SAPBEXexcGood3 2" xfId="91" xr:uid="{00000000-0005-0000-0000-000043000000}"/>
    <cellStyle name="SAPBEXfilterDrill" xfId="53" xr:uid="{00000000-0005-0000-0000-000044000000}"/>
    <cellStyle name="SAPBEXfilterDrill 2" xfId="92" xr:uid="{00000000-0005-0000-0000-000045000000}"/>
    <cellStyle name="SAPBEXfilterDrill 3" xfId="120" xr:uid="{00000000-0005-0000-0000-000046000000}"/>
    <cellStyle name="SAPBEXfilterItem" xfId="54" xr:uid="{00000000-0005-0000-0000-000047000000}"/>
    <cellStyle name="SAPBEXfilterItem 2" xfId="93" xr:uid="{00000000-0005-0000-0000-000048000000}"/>
    <cellStyle name="SAPBEXfilterItem 3" xfId="121" xr:uid="{00000000-0005-0000-0000-000049000000}"/>
    <cellStyle name="SAPBEXfilterText" xfId="55" xr:uid="{00000000-0005-0000-0000-00004A000000}"/>
    <cellStyle name="SAPBEXfilterText 2" xfId="94" xr:uid="{00000000-0005-0000-0000-00004B000000}"/>
    <cellStyle name="SAPBEXfilterText 3" xfId="122" xr:uid="{00000000-0005-0000-0000-00004C000000}"/>
    <cellStyle name="SAPBEXformats" xfId="12" xr:uid="{00000000-0005-0000-0000-00004D000000}"/>
    <cellStyle name="SAPBEXformats 2" xfId="95" xr:uid="{00000000-0005-0000-0000-00004E000000}"/>
    <cellStyle name="SAPBEXheaderItem" xfId="56" xr:uid="{00000000-0005-0000-0000-00004F000000}"/>
    <cellStyle name="SAPBEXheaderItem 2" xfId="96" xr:uid="{00000000-0005-0000-0000-000050000000}"/>
    <cellStyle name="SAPBEXheaderItem 3" xfId="127" xr:uid="{00000000-0005-0000-0000-000051000000}"/>
    <cellStyle name="SAPBEXheaderText" xfId="57" xr:uid="{00000000-0005-0000-0000-000052000000}"/>
    <cellStyle name="SAPBEXheaderText 2" xfId="97" xr:uid="{00000000-0005-0000-0000-000053000000}"/>
    <cellStyle name="SAPBEXheaderText 3" xfId="128" xr:uid="{00000000-0005-0000-0000-000054000000}"/>
    <cellStyle name="SAPBEXHLevel0" xfId="13" xr:uid="{00000000-0005-0000-0000-000055000000}"/>
    <cellStyle name="SAPBEXHLevel0 2" xfId="75" xr:uid="{00000000-0005-0000-0000-000056000000}"/>
    <cellStyle name="SAPBEXHLevel0 3" xfId="98" xr:uid="{00000000-0005-0000-0000-000057000000}"/>
    <cellStyle name="SAPBEXHLevel0X" xfId="58" xr:uid="{00000000-0005-0000-0000-000058000000}"/>
    <cellStyle name="SAPBEXHLevel0X 2" xfId="99" xr:uid="{00000000-0005-0000-0000-000059000000}"/>
    <cellStyle name="SAPBEXHLevel1" xfId="14" xr:uid="{00000000-0005-0000-0000-00005A000000}"/>
    <cellStyle name="SAPBEXHLevel1 2" xfId="100" xr:uid="{00000000-0005-0000-0000-00005B000000}"/>
    <cellStyle name="SAPBEXHLevel1 3" xfId="129" xr:uid="{00000000-0005-0000-0000-00005C000000}"/>
    <cellStyle name="SAPBEXHLevel1X" xfId="59" xr:uid="{00000000-0005-0000-0000-00005D000000}"/>
    <cellStyle name="SAPBEXHLevel1X 2" xfId="101" xr:uid="{00000000-0005-0000-0000-00005E000000}"/>
    <cellStyle name="SAPBEXHLevel2" xfId="15" xr:uid="{00000000-0005-0000-0000-00005F000000}"/>
    <cellStyle name="SAPBEXHLevel2 2" xfId="102" xr:uid="{00000000-0005-0000-0000-000060000000}"/>
    <cellStyle name="SAPBEXHLevel2 3" xfId="130" xr:uid="{00000000-0005-0000-0000-000061000000}"/>
    <cellStyle name="SAPBEXHLevel2X" xfId="60" xr:uid="{00000000-0005-0000-0000-000062000000}"/>
    <cellStyle name="SAPBEXHLevel2X 2" xfId="103" xr:uid="{00000000-0005-0000-0000-000063000000}"/>
    <cellStyle name="SAPBEXHLevel3" xfId="16" xr:uid="{00000000-0005-0000-0000-000064000000}"/>
    <cellStyle name="SAPBEXHLevel3 2" xfId="104" xr:uid="{00000000-0005-0000-0000-000065000000}"/>
    <cellStyle name="SAPBEXHLevel3 3" xfId="123" xr:uid="{00000000-0005-0000-0000-000066000000}"/>
    <cellStyle name="SAPBEXHLevel3X" xfId="61" xr:uid="{00000000-0005-0000-0000-000067000000}"/>
    <cellStyle name="SAPBEXHLevel3X 2" xfId="105" xr:uid="{00000000-0005-0000-0000-000068000000}"/>
    <cellStyle name="SAPBEXinputData" xfId="62" xr:uid="{00000000-0005-0000-0000-000069000000}"/>
    <cellStyle name="SAPBEXinputData 2" xfId="106" xr:uid="{00000000-0005-0000-0000-00006A000000}"/>
    <cellStyle name="SAPBEXItemHeader" xfId="17" xr:uid="{00000000-0005-0000-0000-00006B000000}"/>
    <cellStyle name="SAPBEXresData" xfId="63" xr:uid="{00000000-0005-0000-0000-00006C000000}"/>
    <cellStyle name="SAPBEXresData 2" xfId="107" xr:uid="{00000000-0005-0000-0000-00006D000000}"/>
    <cellStyle name="SAPBEXresDataEmph" xfId="64" xr:uid="{00000000-0005-0000-0000-00006E000000}"/>
    <cellStyle name="SAPBEXresDataEmph 2" xfId="108" xr:uid="{00000000-0005-0000-0000-00006F000000}"/>
    <cellStyle name="SAPBEXresDataEmph 3" xfId="124" xr:uid="{00000000-0005-0000-0000-000070000000}"/>
    <cellStyle name="SAPBEXresItem" xfId="65" xr:uid="{00000000-0005-0000-0000-000071000000}"/>
    <cellStyle name="SAPBEXresItem 2" xfId="109" xr:uid="{00000000-0005-0000-0000-000072000000}"/>
    <cellStyle name="SAPBEXresItemX" xfId="66" xr:uid="{00000000-0005-0000-0000-000073000000}"/>
    <cellStyle name="SAPBEXresItemX 2" xfId="110" xr:uid="{00000000-0005-0000-0000-000074000000}"/>
    <cellStyle name="SAPBEXstdData" xfId="18" xr:uid="{00000000-0005-0000-0000-000075000000}"/>
    <cellStyle name="SAPBEXstdData 2" xfId="111" xr:uid="{00000000-0005-0000-0000-000076000000}"/>
    <cellStyle name="SAPBEXstdDataEmph" xfId="67" xr:uid="{00000000-0005-0000-0000-000077000000}"/>
    <cellStyle name="SAPBEXstdDataEmph 2" xfId="112" xr:uid="{00000000-0005-0000-0000-000078000000}"/>
    <cellStyle name="SAPBEXstdItem" xfId="19" xr:uid="{00000000-0005-0000-0000-000079000000}"/>
    <cellStyle name="SAPBEXstdItem 2" xfId="113" xr:uid="{00000000-0005-0000-0000-00007A000000}"/>
    <cellStyle name="SAPBEXstdItem 3" xfId="125" xr:uid="{00000000-0005-0000-0000-00007B000000}"/>
    <cellStyle name="SAPBEXstdItemX" xfId="68" xr:uid="{00000000-0005-0000-0000-00007C000000}"/>
    <cellStyle name="SAPBEXstdItemX 2" xfId="114" xr:uid="{00000000-0005-0000-0000-00007D000000}"/>
    <cellStyle name="SAPBEXtitle" xfId="69" xr:uid="{00000000-0005-0000-0000-00007E000000}"/>
    <cellStyle name="SAPBEXtitle 2" xfId="115" xr:uid="{00000000-0005-0000-0000-00007F000000}"/>
    <cellStyle name="SAPBEXtitle 3" xfId="126" xr:uid="{00000000-0005-0000-0000-000080000000}"/>
    <cellStyle name="SAPBEXunassignedItem" xfId="70" xr:uid="{00000000-0005-0000-0000-000081000000}"/>
    <cellStyle name="SAPBEXunassignedItem 2" xfId="131" xr:uid="{00000000-0005-0000-0000-000082000000}"/>
    <cellStyle name="SAPBEXundefined" xfId="71" xr:uid="{00000000-0005-0000-0000-000083000000}"/>
    <cellStyle name="SAPBEXundefined 2" xfId="116" xr:uid="{00000000-0005-0000-0000-000084000000}"/>
    <cellStyle name="Sheet Title" xfId="72" xr:uid="{00000000-0005-0000-0000-000085000000}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5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5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5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5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5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5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5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996"/>
  <sheetViews>
    <sheetView showGridLines="0" tabSelected="1" workbookViewId="0">
      <selection activeCell="C5" sqref="C5:E5"/>
    </sheetView>
  </sheetViews>
  <sheetFormatPr defaultColWidth="0" defaultRowHeight="15" zeroHeight="1"/>
  <cols>
    <col min="1" max="1" width="7.5703125" style="91" customWidth="1"/>
    <col min="2" max="2" width="36.140625" style="91" bestFit="1" customWidth="1"/>
    <col min="3" max="3" width="21.42578125" style="91" customWidth="1"/>
    <col min="4" max="4" width="21.140625" style="91" customWidth="1"/>
    <col min="5" max="5" width="21.7109375" style="91" customWidth="1"/>
    <col min="6" max="6" width="11.42578125" style="91" customWidth="1"/>
    <col min="7" max="11" width="11.42578125" style="91" hidden="1" customWidth="1"/>
    <col min="12" max="12" width="16.42578125" style="91" hidden="1" customWidth="1"/>
    <col min="13" max="13" width="7.85546875" style="91" hidden="1" customWidth="1"/>
    <col min="14" max="14" width="97.5703125" style="91" hidden="1" customWidth="1"/>
    <col min="15" max="15" width="19.5703125" style="91" hidden="1" customWidth="1"/>
    <col min="16" max="18" width="11.42578125" style="91" hidden="1" customWidth="1"/>
    <col min="19" max="19" width="12.85546875" style="91" hidden="1" customWidth="1"/>
    <col min="20" max="26" width="11.42578125" style="91" hidden="1" customWidth="1"/>
    <col min="27" max="16384" width="14.42578125" style="91" hidden="1"/>
  </cols>
  <sheetData>
    <row r="1" spans="1:26">
      <c r="A1" s="160"/>
    </row>
    <row r="2" spans="1:26"/>
    <row r="3" spans="1:26" ht="36.75" customHeight="1" thickBot="1">
      <c r="A3" s="92"/>
      <c r="B3" s="130" t="s">
        <v>264</v>
      </c>
      <c r="C3" s="296" t="s">
        <v>5277</v>
      </c>
      <c r="D3" s="297"/>
      <c r="E3" s="298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</row>
    <row r="4" spans="1:26" ht="15.75" thickBot="1">
      <c r="A4" s="92"/>
      <c r="B4" s="131" t="s">
        <v>0</v>
      </c>
      <c r="C4" s="299" t="s">
        <v>5297</v>
      </c>
      <c r="D4" s="300"/>
      <c r="E4" s="301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</row>
    <row r="5" spans="1:26" ht="15.75" thickBot="1">
      <c r="A5" s="93"/>
      <c r="B5" s="131" t="s">
        <v>1</v>
      </c>
      <c r="C5" s="299" t="s">
        <v>5278</v>
      </c>
      <c r="D5" s="300"/>
      <c r="E5" s="301"/>
      <c r="F5" s="92"/>
      <c r="G5" s="92"/>
      <c r="H5" s="92"/>
      <c r="I5" s="92"/>
      <c r="J5" s="92"/>
      <c r="K5" s="94" t="s">
        <v>267</v>
      </c>
      <c r="L5" s="94" t="s">
        <v>635</v>
      </c>
      <c r="M5" s="94" t="s">
        <v>268</v>
      </c>
      <c r="N5" s="94" t="s">
        <v>269</v>
      </c>
      <c r="O5" s="94" t="s">
        <v>270</v>
      </c>
      <c r="P5" s="94" t="s">
        <v>271</v>
      </c>
      <c r="Q5" s="94" t="s">
        <v>272</v>
      </c>
      <c r="R5" s="94" t="s">
        <v>273</v>
      </c>
      <c r="S5" s="94" t="s">
        <v>274</v>
      </c>
      <c r="T5" s="94" t="s">
        <v>633</v>
      </c>
      <c r="U5" s="95" t="s">
        <v>205</v>
      </c>
      <c r="V5" s="92"/>
      <c r="W5" s="92"/>
      <c r="X5" s="92"/>
      <c r="Y5" s="92"/>
      <c r="Z5" s="92"/>
    </row>
    <row r="6" spans="1:26" ht="15.75" thickBot="1">
      <c r="A6" s="96"/>
      <c r="B6" s="131" t="s">
        <v>2</v>
      </c>
      <c r="C6" s="299" t="s">
        <v>5279</v>
      </c>
      <c r="D6" s="300"/>
      <c r="E6" s="301"/>
      <c r="F6" s="92"/>
      <c r="G6" s="92"/>
      <c r="H6" s="92"/>
      <c r="I6" s="92"/>
      <c r="J6" s="92"/>
      <c r="K6" s="91">
        <v>0</v>
      </c>
      <c r="L6" s="91" t="s">
        <v>636</v>
      </c>
      <c r="T6" s="91" t="s">
        <v>656</v>
      </c>
      <c r="U6" s="91" t="s">
        <v>656</v>
      </c>
      <c r="V6" s="92"/>
      <c r="W6" s="92"/>
      <c r="X6" s="92"/>
      <c r="Y6" s="92"/>
      <c r="Z6" s="92"/>
    </row>
    <row r="7" spans="1:26" ht="16.5" thickBot="1">
      <c r="A7" s="96"/>
      <c r="B7" s="131" t="s">
        <v>263</v>
      </c>
      <c r="C7" s="299" t="s">
        <v>5280</v>
      </c>
      <c r="D7" s="300"/>
      <c r="E7" s="301"/>
      <c r="F7" s="92"/>
      <c r="G7" s="92"/>
      <c r="H7" s="92"/>
      <c r="I7" s="92"/>
      <c r="J7" s="92"/>
      <c r="K7" s="151">
        <f t="shared" ref="K7:K71" si="0">+K6+1</f>
        <v>1</v>
      </c>
      <c r="L7" s="149" t="str">
        <f>M7&amp;" "&amp;N7</f>
        <v xml:space="preserve">1222 MINISTARSTVO ZNANOSTI I OBRAZOVANJA </v>
      </c>
      <c r="M7" s="149">
        <v>1222</v>
      </c>
      <c r="N7" s="152" t="s">
        <v>1751</v>
      </c>
      <c r="O7" s="153"/>
      <c r="P7" s="158" t="s">
        <v>275</v>
      </c>
      <c r="Q7" s="152" t="s">
        <v>276</v>
      </c>
      <c r="R7" s="150">
        <v>3271030</v>
      </c>
      <c r="S7" s="146" t="s">
        <v>1752</v>
      </c>
      <c r="T7" s="147" t="s">
        <v>1208</v>
      </c>
      <c r="U7" s="148" t="s">
        <v>941</v>
      </c>
      <c r="V7" s="92"/>
      <c r="W7" s="92"/>
      <c r="X7" s="92"/>
      <c r="Y7" s="92"/>
      <c r="Z7" s="92"/>
    </row>
    <row r="8" spans="1:26" ht="15.75">
      <c r="A8" s="96"/>
      <c r="B8" s="96"/>
      <c r="C8" s="92"/>
      <c r="D8" s="92"/>
      <c r="E8" s="92"/>
      <c r="F8" s="92"/>
      <c r="G8" s="92"/>
      <c r="H8" s="92"/>
      <c r="I8" s="92"/>
      <c r="J8" s="92"/>
      <c r="K8" s="151">
        <f t="shared" si="0"/>
        <v>2</v>
      </c>
      <c r="L8" s="149" t="str">
        <f t="shared" ref="L8:L72" si="1">M8&amp;" "&amp;N8</f>
        <v>2063 FAKULTET ORGANIZACIJE I INFORMATIKE U VARAŽDINU</v>
      </c>
      <c r="M8" s="149">
        <v>2063</v>
      </c>
      <c r="N8" s="152" t="s">
        <v>489</v>
      </c>
      <c r="O8" s="153" t="s">
        <v>398</v>
      </c>
      <c r="P8" s="152" t="s">
        <v>490</v>
      </c>
      <c r="Q8" s="152" t="s">
        <v>446</v>
      </c>
      <c r="R8" s="150">
        <v>3006107</v>
      </c>
      <c r="S8" s="146" t="s">
        <v>491</v>
      </c>
      <c r="T8" s="147" t="s">
        <v>45</v>
      </c>
      <c r="U8" s="148" t="s">
        <v>44</v>
      </c>
      <c r="V8" s="92"/>
      <c r="W8" s="92"/>
      <c r="X8" s="92"/>
      <c r="Y8" s="92"/>
      <c r="Z8" s="92"/>
    </row>
    <row r="9" spans="1:26" ht="28.5" customHeight="1">
      <c r="B9" s="293" t="s">
        <v>5270</v>
      </c>
      <c r="C9" s="294"/>
      <c r="D9" s="294"/>
      <c r="E9" s="294"/>
      <c r="F9" s="92"/>
      <c r="G9" s="92"/>
      <c r="H9" s="92"/>
      <c r="I9" s="92"/>
      <c r="J9" s="92"/>
      <c r="K9" s="151">
        <f t="shared" si="0"/>
        <v>3</v>
      </c>
      <c r="L9" s="149" t="str">
        <f t="shared" si="1"/>
        <v>43749 MEĐIMURSKO VELEUČILIŠTE U ČAKOVCU</v>
      </c>
      <c r="M9" s="149">
        <v>43749</v>
      </c>
      <c r="N9" s="152" t="s">
        <v>492</v>
      </c>
      <c r="O9" s="153" t="s">
        <v>493</v>
      </c>
      <c r="P9" s="152" t="s">
        <v>494</v>
      </c>
      <c r="Q9" s="152" t="s">
        <v>495</v>
      </c>
      <c r="R9" s="150">
        <v>2382512</v>
      </c>
      <c r="S9" s="146" t="s">
        <v>496</v>
      </c>
      <c r="T9" s="147" t="s">
        <v>45</v>
      </c>
      <c r="U9" s="148" t="s">
        <v>44</v>
      </c>
      <c r="V9" s="92"/>
      <c r="W9" s="92"/>
      <c r="X9" s="92"/>
      <c r="Y9" s="92"/>
      <c r="Z9" s="92"/>
    </row>
    <row r="10" spans="1:26" ht="18.75" customHeight="1">
      <c r="B10" s="248"/>
      <c r="F10" s="92"/>
      <c r="G10" s="92"/>
      <c r="H10" s="92"/>
      <c r="I10" s="92"/>
      <c r="J10" s="92"/>
      <c r="K10" s="151">
        <f t="shared" si="0"/>
        <v>4</v>
      </c>
      <c r="L10" s="149" t="str">
        <f t="shared" si="1"/>
        <v>2452 SVEUČILIŠTE J. J. STROSSMAYERA U OSIJEKU</v>
      </c>
      <c r="M10" s="149">
        <v>2452</v>
      </c>
      <c r="N10" s="152" t="s">
        <v>1753</v>
      </c>
      <c r="O10" s="159" t="s">
        <v>277</v>
      </c>
      <c r="P10" s="152" t="s">
        <v>278</v>
      </c>
      <c r="Q10" s="152" t="s">
        <v>279</v>
      </c>
      <c r="R10" s="150">
        <v>3049779</v>
      </c>
      <c r="S10" s="146" t="s">
        <v>280</v>
      </c>
      <c r="T10" s="147" t="s">
        <v>45</v>
      </c>
      <c r="U10" s="148" t="s">
        <v>44</v>
      </c>
      <c r="V10" s="92"/>
      <c r="W10" s="92"/>
      <c r="X10" s="92"/>
      <c r="Y10" s="92"/>
      <c r="Z10" s="92"/>
    </row>
    <row r="11" spans="1:26" ht="12" customHeight="1">
      <c r="B11" s="293" t="s">
        <v>3</v>
      </c>
      <c r="C11" s="294"/>
      <c r="D11" s="294"/>
      <c r="E11" s="294"/>
      <c r="F11" s="92"/>
      <c r="G11" s="92"/>
      <c r="H11" s="92"/>
      <c r="I11" s="92"/>
      <c r="J11" s="92"/>
      <c r="K11" s="151">
        <f t="shared" si="0"/>
        <v>5</v>
      </c>
      <c r="L11" s="149" t="str">
        <f t="shared" si="1"/>
        <v>50215 SVEUČILIŠTE J. J. STROSSMAYERA U OSIJEKU - AKADEMIJA ZA UMJETNOST I KULTURU U OSIJEKU</v>
      </c>
      <c r="M11" s="149">
        <v>50215</v>
      </c>
      <c r="N11" s="152" t="s">
        <v>1754</v>
      </c>
      <c r="O11" s="159" t="s">
        <v>277</v>
      </c>
      <c r="P11" s="152" t="s">
        <v>304</v>
      </c>
      <c r="Q11" s="152" t="s">
        <v>279</v>
      </c>
      <c r="R11" s="150">
        <v>4907361</v>
      </c>
      <c r="S11" s="146" t="s">
        <v>1713</v>
      </c>
      <c r="T11" s="147" t="s">
        <v>45</v>
      </c>
      <c r="U11" s="148" t="s">
        <v>44</v>
      </c>
      <c r="V11" s="92"/>
      <c r="W11" s="92"/>
      <c r="X11" s="92"/>
      <c r="Y11" s="92"/>
      <c r="Z11" s="92"/>
    </row>
    <row r="12" spans="1:26" ht="12" customHeight="1">
      <c r="B12" s="248"/>
      <c r="F12" s="92"/>
      <c r="G12" s="92"/>
      <c r="H12" s="92"/>
      <c r="I12" s="92"/>
      <c r="J12" s="92"/>
      <c r="K12" s="151">
        <f t="shared" si="0"/>
        <v>6</v>
      </c>
      <c r="L12" s="149" t="str">
        <f t="shared" si="1"/>
        <v>2284 SVEUČILIŠTE J. J. STROSSMAYERA U OSIJEKU - EKONOMSKI FAKULTET</v>
      </c>
      <c r="M12" s="149">
        <v>2284</v>
      </c>
      <c r="N12" s="152" t="s">
        <v>1755</v>
      </c>
      <c r="O12" s="159" t="s">
        <v>277</v>
      </c>
      <c r="P12" s="152" t="s">
        <v>281</v>
      </c>
      <c r="Q12" s="152" t="s">
        <v>279</v>
      </c>
      <c r="R12" s="150">
        <v>3021645</v>
      </c>
      <c r="S12" s="146" t="s">
        <v>282</v>
      </c>
      <c r="T12" s="147" t="s">
        <v>45</v>
      </c>
      <c r="U12" s="148" t="s">
        <v>44</v>
      </c>
      <c r="V12" s="92"/>
      <c r="W12" s="92"/>
      <c r="X12" s="92"/>
      <c r="Y12" s="92"/>
      <c r="Z12" s="92"/>
    </row>
    <row r="13" spans="1:26" ht="33" customHeight="1">
      <c r="B13" s="293" t="s">
        <v>5082</v>
      </c>
      <c r="C13" s="294"/>
      <c r="D13" s="294"/>
      <c r="E13" s="294"/>
      <c r="F13" s="102"/>
      <c r="G13" s="92"/>
      <c r="H13" s="92"/>
      <c r="I13" s="92"/>
      <c r="J13" s="92"/>
      <c r="K13" s="151">
        <f t="shared" si="0"/>
        <v>7</v>
      </c>
      <c r="L13" s="149" t="str">
        <f t="shared" si="1"/>
        <v>2268 SVEUČILIŠTE J. J. STROSSMAYERA U OSIJEKU - FAKULTET AGROBIOTEHNIČKIH ZNANOSTI OSIJEK</v>
      </c>
      <c r="M13" s="149">
        <v>2268</v>
      </c>
      <c r="N13" s="152" t="s">
        <v>1756</v>
      </c>
      <c r="O13" s="159" t="s">
        <v>277</v>
      </c>
      <c r="P13" s="152" t="s">
        <v>292</v>
      </c>
      <c r="Q13" s="152" t="s">
        <v>279</v>
      </c>
      <c r="R13" s="150">
        <v>3058212</v>
      </c>
      <c r="S13" s="146" t="s">
        <v>293</v>
      </c>
      <c r="T13" s="147" t="s">
        <v>45</v>
      </c>
      <c r="U13" s="148" t="s">
        <v>44</v>
      </c>
      <c r="V13" s="92"/>
      <c r="W13" s="92"/>
      <c r="X13" s="92"/>
      <c r="Y13" s="92"/>
      <c r="Z13" s="92"/>
    </row>
    <row r="14" spans="1:26" ht="19.5" customHeight="1">
      <c r="A14" s="98"/>
      <c r="B14" s="98"/>
      <c r="C14" s="92"/>
      <c r="D14" s="92"/>
      <c r="E14" s="185" t="s">
        <v>5269</v>
      </c>
      <c r="F14" s="102"/>
      <c r="G14" s="92"/>
      <c r="H14" s="92"/>
      <c r="I14" s="92"/>
      <c r="J14" s="92"/>
      <c r="K14" s="151">
        <f t="shared" si="0"/>
        <v>8</v>
      </c>
      <c r="L14" s="149" t="str">
        <f t="shared" si="1"/>
        <v>2313 SVEUČILIŠTE J. J. STROSSMAYERA U OSIJEKU - FAKULTET ELEKTROTEHNIKE, RAČUNARSTVA I INFORMACIJSKIH TEHNOLOGIJA OSIJEK</v>
      </c>
      <c r="M14" s="149">
        <v>2313</v>
      </c>
      <c r="N14" s="152" t="s">
        <v>1757</v>
      </c>
      <c r="O14" s="159" t="s">
        <v>277</v>
      </c>
      <c r="P14" s="152" t="s">
        <v>283</v>
      </c>
      <c r="Q14" s="152" t="s">
        <v>279</v>
      </c>
      <c r="R14" s="150">
        <v>3392589</v>
      </c>
      <c r="S14" s="146" t="s">
        <v>284</v>
      </c>
      <c r="T14" s="147" t="s">
        <v>45</v>
      </c>
      <c r="U14" s="148" t="s">
        <v>44</v>
      </c>
      <c r="V14" s="92"/>
      <c r="W14" s="92"/>
      <c r="X14" s="92"/>
      <c r="Y14" s="92"/>
      <c r="Z14" s="92"/>
    </row>
    <row r="15" spans="1:26" ht="30">
      <c r="A15" s="99"/>
      <c r="B15" s="99"/>
      <c r="C15" s="99" t="s">
        <v>3023</v>
      </c>
      <c r="D15" s="99" t="s">
        <v>1779</v>
      </c>
      <c r="E15" s="99" t="s">
        <v>3024</v>
      </c>
      <c r="F15" s="92"/>
      <c r="G15" s="92"/>
      <c r="H15" s="92"/>
      <c r="I15" s="92"/>
      <c r="J15" s="92"/>
      <c r="K15" s="151">
        <f t="shared" si="0"/>
        <v>9</v>
      </c>
      <c r="L15" s="149" t="str">
        <f t="shared" si="1"/>
        <v>49796 SVEUČILIŠTE J. J. STROSSMAYERA U OSIJEKU - FAKULTET ZA DENTALNU MEDICINU I ZDRAVSTVO</v>
      </c>
      <c r="M15" s="149">
        <v>49796</v>
      </c>
      <c r="N15" s="152" t="s">
        <v>1758</v>
      </c>
      <c r="O15" s="159" t="s">
        <v>277</v>
      </c>
      <c r="P15" s="152" t="s">
        <v>302</v>
      </c>
      <c r="Q15" s="152" t="s">
        <v>279</v>
      </c>
      <c r="R15" s="150">
        <v>4748875</v>
      </c>
      <c r="S15" s="146" t="s">
        <v>303</v>
      </c>
      <c r="T15" s="147" t="s">
        <v>45</v>
      </c>
      <c r="U15" s="148" t="s">
        <v>44</v>
      </c>
      <c r="V15" s="92"/>
      <c r="W15" s="92"/>
      <c r="X15" s="92"/>
      <c r="Y15" s="92"/>
      <c r="Z15" s="92"/>
    </row>
    <row r="16" spans="1:26" ht="19.5" customHeight="1">
      <c r="A16" s="100"/>
      <c r="B16" s="100" t="s">
        <v>4</v>
      </c>
      <c r="C16" s="101">
        <f>SUM(C17:C18)</f>
        <v>16879629</v>
      </c>
      <c r="D16" s="101">
        <f>+D17+D18</f>
        <v>9209347</v>
      </c>
      <c r="E16" s="101">
        <f>+E17+E18</f>
        <v>9235800</v>
      </c>
      <c r="F16" s="92"/>
      <c r="G16" s="106"/>
      <c r="H16" s="92"/>
      <c r="I16" s="92"/>
      <c r="J16" s="92"/>
      <c r="K16" s="151">
        <f t="shared" si="0"/>
        <v>10</v>
      </c>
      <c r="L16" s="149" t="str">
        <f t="shared" si="1"/>
        <v>22486 SVEUČILIŠTE J. J. STROSSMAYERA U OSIJEKU - FAKULTET ZA ODGOJNE I OBRAZOVNE ZNANOSTI</v>
      </c>
      <c r="M16" s="149">
        <v>22486</v>
      </c>
      <c r="N16" s="152" t="s">
        <v>1759</v>
      </c>
      <c r="O16" s="159" t="s">
        <v>277</v>
      </c>
      <c r="P16" s="152" t="s">
        <v>297</v>
      </c>
      <c r="Q16" s="152" t="s">
        <v>279</v>
      </c>
      <c r="R16" s="150">
        <v>1404881</v>
      </c>
      <c r="S16" s="146" t="s">
        <v>298</v>
      </c>
      <c r="T16" s="147" t="s">
        <v>45</v>
      </c>
      <c r="U16" s="148" t="s">
        <v>44</v>
      </c>
      <c r="V16" s="92"/>
      <c r="W16" s="92"/>
      <c r="X16" s="92"/>
      <c r="Y16" s="92"/>
      <c r="Z16" s="92"/>
    </row>
    <row r="17" spans="1:26" ht="19.5" customHeight="1">
      <c r="A17" s="103">
        <v>6</v>
      </c>
      <c r="B17" s="100" t="s">
        <v>5</v>
      </c>
      <c r="C17" s="104">
        <f>+'A.1 PRIHODI'!D16</f>
        <v>16879629</v>
      </c>
      <c r="D17" s="104">
        <f>+'A.1 PRIHODI'!D30</f>
        <v>9209347</v>
      </c>
      <c r="E17" s="104">
        <f>+'A.1 PRIHODI'!D44</f>
        <v>9235800</v>
      </c>
      <c r="F17" s="92"/>
      <c r="G17" s="92"/>
      <c r="H17" s="92"/>
      <c r="I17" s="92"/>
      <c r="J17" s="92"/>
      <c r="K17" s="151">
        <f t="shared" si="0"/>
        <v>11</v>
      </c>
      <c r="L17" s="149" t="str">
        <f t="shared" si="1"/>
        <v>2321 SVEUČILIŠTE J. J. STROSSMAYERA U OSIJEKU - FILOZOFSKI FAKULTET</v>
      </c>
      <c r="M17" s="149">
        <v>2321</v>
      </c>
      <c r="N17" s="152" t="s">
        <v>1760</v>
      </c>
      <c r="O17" s="159" t="s">
        <v>277</v>
      </c>
      <c r="P17" s="152" t="s">
        <v>285</v>
      </c>
      <c r="Q17" s="152" t="s">
        <v>279</v>
      </c>
      <c r="R17" s="150">
        <v>3014185</v>
      </c>
      <c r="S17" s="146" t="s">
        <v>286</v>
      </c>
      <c r="T17" s="147" t="s">
        <v>45</v>
      </c>
      <c r="U17" s="148" t="s">
        <v>44</v>
      </c>
      <c r="V17" s="92"/>
      <c r="W17" s="92"/>
      <c r="X17" s="92"/>
      <c r="Y17" s="92"/>
      <c r="Z17" s="92"/>
    </row>
    <row r="18" spans="1:26" ht="19.5" customHeight="1">
      <c r="A18" s="103">
        <v>7</v>
      </c>
      <c r="B18" s="105" t="s">
        <v>6</v>
      </c>
      <c r="C18" s="104">
        <f>+'A.1 PRIHODI'!D19</f>
        <v>0</v>
      </c>
      <c r="D18" s="104">
        <f>+'A.1 PRIHODI'!D33</f>
        <v>0</v>
      </c>
      <c r="E18" s="104">
        <f>+'A.1 PRIHODI'!D47</f>
        <v>0</v>
      </c>
      <c r="F18" s="92"/>
      <c r="G18" s="92"/>
      <c r="H18" s="92"/>
      <c r="I18" s="92"/>
      <c r="J18" s="92"/>
      <c r="K18" s="151">
        <f t="shared" si="0"/>
        <v>12</v>
      </c>
      <c r="L18" s="149" t="str">
        <f t="shared" si="1"/>
        <v>2508 SVEUČILIŠTE J. J. STROSSMAYERA U OSIJEKU - GRADSKA I SVEUČILIŠNA KNJIŽNICA</v>
      </c>
      <c r="M18" s="149">
        <v>2508</v>
      </c>
      <c r="N18" s="152" t="s">
        <v>1761</v>
      </c>
      <c r="O18" s="159" t="s">
        <v>277</v>
      </c>
      <c r="P18" s="152" t="s">
        <v>287</v>
      </c>
      <c r="Q18" s="152" t="s">
        <v>279</v>
      </c>
      <c r="R18" s="150">
        <v>3014347</v>
      </c>
      <c r="S18" s="146" t="s">
        <v>288</v>
      </c>
      <c r="T18" s="147" t="s">
        <v>45</v>
      </c>
      <c r="U18" s="148" t="s">
        <v>44</v>
      </c>
      <c r="V18" s="92"/>
      <c r="W18" s="92"/>
      <c r="X18" s="92"/>
      <c r="Y18" s="92"/>
      <c r="Z18" s="92"/>
    </row>
    <row r="19" spans="1:26" ht="19.5" customHeight="1">
      <c r="A19" s="107"/>
      <c r="B19" s="105" t="s">
        <v>7</v>
      </c>
      <c r="C19" s="108">
        <f>SUM(C20:C21)</f>
        <v>17534277</v>
      </c>
      <c r="D19" s="108">
        <f>+D20+D21</f>
        <v>9209347</v>
      </c>
      <c r="E19" s="108">
        <f>+E20+E21</f>
        <v>9235800</v>
      </c>
      <c r="F19" s="92"/>
      <c r="G19" s="92"/>
      <c r="H19" s="92"/>
      <c r="I19" s="92"/>
      <c r="J19" s="92"/>
      <c r="K19" s="151">
        <f t="shared" si="0"/>
        <v>13</v>
      </c>
      <c r="L19" s="149" t="str">
        <f t="shared" si="1"/>
        <v>2250 SVEUČILIŠTE J. J. STROSSMAYERA U OSIJEKU - GRAĐEVINSKI I ARHITEKTONSKI FAKULTET OSIJEK</v>
      </c>
      <c r="M19" s="149">
        <v>2250</v>
      </c>
      <c r="N19" s="152" t="s">
        <v>1762</v>
      </c>
      <c r="O19" s="159" t="s">
        <v>277</v>
      </c>
      <c r="P19" s="152" t="s">
        <v>1712</v>
      </c>
      <c r="Q19" s="152" t="s">
        <v>279</v>
      </c>
      <c r="R19" s="150">
        <v>3397335</v>
      </c>
      <c r="S19" s="146" t="s">
        <v>289</v>
      </c>
      <c r="T19" s="147" t="s">
        <v>45</v>
      </c>
      <c r="U19" s="148" t="s">
        <v>44</v>
      </c>
      <c r="V19" s="92"/>
      <c r="W19" s="92"/>
      <c r="X19" s="92"/>
      <c r="Y19" s="92"/>
      <c r="Z19" s="92"/>
    </row>
    <row r="20" spans="1:26" ht="19.5" customHeight="1">
      <c r="A20" s="107">
        <v>3</v>
      </c>
      <c r="B20" s="100" t="s">
        <v>8</v>
      </c>
      <c r="C20" s="109">
        <f>+'A.2 RASHODI'!D5</f>
        <v>17382376</v>
      </c>
      <c r="D20" s="110">
        <f>+'A.2 RASHODI'!D22</f>
        <v>9064172</v>
      </c>
      <c r="E20" s="110">
        <f>+'A.2 RASHODI'!D39</f>
        <v>9086699</v>
      </c>
      <c r="F20" s="92"/>
      <c r="G20" s="92"/>
      <c r="H20" s="92"/>
      <c r="I20" s="92"/>
      <c r="J20" s="92"/>
      <c r="K20" s="151">
        <f t="shared" si="0"/>
        <v>14</v>
      </c>
      <c r="L20" s="149" t="str">
        <f t="shared" si="1"/>
        <v>38479 SVEUČILIŠTE J. J. STROSSMAYERA U OSIJEKU - KATOLIČKI BOGOSLOVNI FAKULTET U ĐAKOVU</v>
      </c>
      <c r="M20" s="149">
        <v>38479</v>
      </c>
      <c r="N20" s="152" t="s">
        <v>1763</v>
      </c>
      <c r="O20" s="159" t="s">
        <v>277</v>
      </c>
      <c r="P20" s="152" t="s">
        <v>299</v>
      </c>
      <c r="Q20" s="152" t="s">
        <v>300</v>
      </c>
      <c r="R20" s="150">
        <v>1986490</v>
      </c>
      <c r="S20" s="146" t="s">
        <v>301</v>
      </c>
      <c r="T20" s="147" t="s">
        <v>45</v>
      </c>
      <c r="U20" s="148" t="s">
        <v>44</v>
      </c>
      <c r="V20" s="92"/>
      <c r="W20" s="92"/>
      <c r="X20" s="92"/>
      <c r="Y20" s="92"/>
      <c r="Z20" s="92"/>
    </row>
    <row r="21" spans="1:26" ht="19.5" customHeight="1">
      <c r="A21" s="103">
        <v>4</v>
      </c>
      <c r="B21" s="105" t="s">
        <v>9</v>
      </c>
      <c r="C21" s="109">
        <f>+'A.2 RASHODI'!D13</f>
        <v>151901</v>
      </c>
      <c r="D21" s="110">
        <f>+'A.2 RASHODI'!D30</f>
        <v>145175</v>
      </c>
      <c r="E21" s="110">
        <f>+'A.2 RASHODI'!D47</f>
        <v>149101</v>
      </c>
      <c r="F21" s="92"/>
      <c r="G21" s="92"/>
      <c r="H21" s="92"/>
      <c r="I21" s="92"/>
      <c r="J21" s="92"/>
      <c r="K21" s="151">
        <f t="shared" si="0"/>
        <v>15</v>
      </c>
      <c r="L21" s="149" t="str">
        <f t="shared" si="1"/>
        <v>51450 SVEUČILIŠTE J. J. STROSSMAYERA U OSIJEKU - KINEZIOLOŠKI FAKULTET OSIJEK</v>
      </c>
      <c r="M21" s="149">
        <v>51450</v>
      </c>
      <c r="N21" s="152" t="s">
        <v>1764</v>
      </c>
      <c r="O21" s="159" t="s">
        <v>277</v>
      </c>
      <c r="P21" s="152" t="s">
        <v>1765</v>
      </c>
      <c r="Q21" s="152" t="s">
        <v>279</v>
      </c>
      <c r="R21" s="150">
        <v>5302099</v>
      </c>
      <c r="S21" s="146" t="s">
        <v>1766</v>
      </c>
      <c r="T21" s="147" t="s">
        <v>45</v>
      </c>
      <c r="U21" s="148" t="s">
        <v>44</v>
      </c>
      <c r="V21" s="92"/>
      <c r="W21" s="92"/>
      <c r="X21" s="92"/>
      <c r="Y21" s="92"/>
      <c r="Z21" s="92"/>
    </row>
    <row r="22" spans="1:26" ht="15.75">
      <c r="A22" s="100"/>
      <c r="B22" s="100" t="s">
        <v>10</v>
      </c>
      <c r="C22" s="101">
        <f>+C16-C19</f>
        <v>-654648</v>
      </c>
      <c r="D22" s="101">
        <f>+D16-D19</f>
        <v>0</v>
      </c>
      <c r="E22" s="101">
        <f>+E16-E19</f>
        <v>0</v>
      </c>
      <c r="F22" s="92"/>
      <c r="G22" s="92"/>
      <c r="H22" s="106"/>
      <c r="I22" s="92"/>
      <c r="J22" s="92"/>
      <c r="K22" s="151">
        <f t="shared" si="0"/>
        <v>16</v>
      </c>
      <c r="L22" s="149" t="str">
        <f t="shared" si="1"/>
        <v>22849 SVEUČILIŠTE J. J. STROSSMAYERA U OSIJEKU - MEDICINSKI FAKULTET</v>
      </c>
      <c r="M22" s="149">
        <v>22849</v>
      </c>
      <c r="N22" s="152" t="s">
        <v>1767</v>
      </c>
      <c r="O22" s="159" t="s">
        <v>277</v>
      </c>
      <c r="P22" s="152" t="s">
        <v>290</v>
      </c>
      <c r="Q22" s="152" t="s">
        <v>279</v>
      </c>
      <c r="R22" s="150">
        <v>1388142</v>
      </c>
      <c r="S22" s="146" t="s">
        <v>291</v>
      </c>
      <c r="T22" s="147" t="s">
        <v>45</v>
      </c>
      <c r="U22" s="148" t="s">
        <v>44</v>
      </c>
      <c r="V22" s="92"/>
      <c r="W22" s="92"/>
      <c r="X22" s="92"/>
      <c r="Y22" s="92"/>
      <c r="Z22" s="92"/>
    </row>
    <row r="23" spans="1:26" ht="11.25" customHeight="1">
      <c r="B23" s="295"/>
      <c r="C23" s="294"/>
      <c r="D23" s="294"/>
      <c r="E23" s="294"/>
      <c r="F23" s="92"/>
      <c r="G23" s="92"/>
      <c r="H23" s="112"/>
      <c r="I23" s="92"/>
      <c r="J23" s="92"/>
      <c r="K23" s="151">
        <f t="shared" si="0"/>
        <v>17</v>
      </c>
      <c r="L23" s="149" t="str">
        <f t="shared" si="1"/>
        <v>2292 SVEUČILIŠTE J. J. STROSSMAYERA U OSIJEKU - PRAVNI FAKULTET</v>
      </c>
      <c r="M23" s="149">
        <v>2292</v>
      </c>
      <c r="N23" s="152" t="s">
        <v>1768</v>
      </c>
      <c r="O23" s="159" t="s">
        <v>277</v>
      </c>
      <c r="P23" s="152" t="s">
        <v>294</v>
      </c>
      <c r="Q23" s="152" t="s">
        <v>279</v>
      </c>
      <c r="R23" s="150">
        <v>3014193</v>
      </c>
      <c r="S23" s="146" t="s">
        <v>295</v>
      </c>
      <c r="T23" s="147" t="s">
        <v>45</v>
      </c>
      <c r="U23" s="148" t="s">
        <v>44</v>
      </c>
      <c r="V23" s="92"/>
      <c r="W23" s="92"/>
      <c r="X23" s="92"/>
      <c r="Y23" s="92"/>
      <c r="Z23" s="92"/>
    </row>
    <row r="24" spans="1:26" ht="15.75">
      <c r="B24" s="293" t="s">
        <v>5085</v>
      </c>
      <c r="C24" s="294"/>
      <c r="D24" s="294"/>
      <c r="E24" s="294"/>
      <c r="F24" s="92"/>
      <c r="G24" s="92"/>
      <c r="H24" s="112"/>
      <c r="I24" s="92"/>
      <c r="J24" s="92"/>
      <c r="K24" s="151">
        <f t="shared" si="0"/>
        <v>18</v>
      </c>
      <c r="L24" s="149" t="str">
        <f t="shared" si="1"/>
        <v>2276 SVEUČILIŠTE J. J. STROSSMAYERA U OSIJEKU - PREHRAMBENO TEHNOLOŠKI FAKULTET</v>
      </c>
      <c r="M24" s="149">
        <v>2276</v>
      </c>
      <c r="N24" s="152" t="s">
        <v>1769</v>
      </c>
      <c r="O24" s="159" t="s">
        <v>277</v>
      </c>
      <c r="P24" s="152" t="s">
        <v>1770</v>
      </c>
      <c r="Q24" s="152" t="s">
        <v>279</v>
      </c>
      <c r="R24" s="150">
        <v>3058204</v>
      </c>
      <c r="S24" s="146" t="s">
        <v>296</v>
      </c>
      <c r="T24" s="147" t="s">
        <v>45</v>
      </c>
      <c r="U24" s="148" t="s">
        <v>44</v>
      </c>
      <c r="V24" s="92"/>
      <c r="W24" s="92"/>
      <c r="X24" s="92"/>
      <c r="Y24" s="92"/>
      <c r="Z24" s="92"/>
    </row>
    <row r="25" spans="1:26" ht="15.75">
      <c r="A25" s="98"/>
      <c r="B25" s="98"/>
      <c r="C25" s="92"/>
      <c r="D25" s="92"/>
      <c r="E25" s="185" t="s">
        <v>5269</v>
      </c>
      <c r="F25" s="92"/>
      <c r="G25" s="92"/>
      <c r="H25" s="92"/>
      <c r="I25" s="92"/>
      <c r="J25" s="92"/>
      <c r="K25" s="151">
        <f t="shared" si="0"/>
        <v>19</v>
      </c>
      <c r="L25" s="149" t="str">
        <f t="shared" si="1"/>
        <v>52565 SVEUČILIŠTE J. J. STROSSMAYERA U OSIJEKU - FAKULTET TURIZMA I RURALNOG RAZVOJA U POŽEGI</v>
      </c>
      <c r="M25" s="267">
        <v>52565</v>
      </c>
      <c r="N25" s="268" t="s">
        <v>5193</v>
      </c>
      <c r="O25" s="269" t="s">
        <v>277</v>
      </c>
      <c r="P25" s="268" t="s">
        <v>517</v>
      </c>
      <c r="Q25" s="152" t="s">
        <v>279</v>
      </c>
      <c r="R25" s="270">
        <v>5619696</v>
      </c>
      <c r="S25" s="271" t="s">
        <v>5194</v>
      </c>
      <c r="T25" s="147" t="s">
        <v>45</v>
      </c>
      <c r="U25" s="148" t="s">
        <v>44</v>
      </c>
      <c r="V25" s="92"/>
      <c r="W25" s="92"/>
      <c r="X25" s="92"/>
      <c r="Y25" s="92"/>
      <c r="Z25" s="92"/>
    </row>
    <row r="26" spans="1:26" ht="30.75" customHeight="1">
      <c r="A26" s="99"/>
      <c r="B26" s="99"/>
      <c r="C26" s="99" t="s">
        <v>3023</v>
      </c>
      <c r="D26" s="99" t="s">
        <v>1779</v>
      </c>
      <c r="E26" s="99" t="s">
        <v>3024</v>
      </c>
      <c r="F26" s="92"/>
      <c r="G26" s="92"/>
      <c r="H26" s="115"/>
      <c r="I26" s="92"/>
      <c r="J26" s="92"/>
      <c r="K26" s="151">
        <f t="shared" si="0"/>
        <v>20</v>
      </c>
      <c r="L26" s="149" t="str">
        <f t="shared" si="1"/>
        <v>42024 SVEUČILIŠTE JURJA DOBRILE U PULI</v>
      </c>
      <c r="M26" s="149">
        <v>42024</v>
      </c>
      <c r="N26" s="152" t="s">
        <v>305</v>
      </c>
      <c r="O26" s="153" t="s">
        <v>1780</v>
      </c>
      <c r="P26" s="152" t="s">
        <v>306</v>
      </c>
      <c r="Q26" s="152" t="s">
        <v>307</v>
      </c>
      <c r="R26" s="150">
        <v>2161753</v>
      </c>
      <c r="S26" s="146" t="s">
        <v>308</v>
      </c>
      <c r="T26" s="147" t="s">
        <v>45</v>
      </c>
      <c r="U26" s="148" t="s">
        <v>44</v>
      </c>
      <c r="V26" s="92"/>
      <c r="W26" s="92"/>
      <c r="X26" s="92"/>
      <c r="Y26" s="92"/>
      <c r="Z26" s="92"/>
    </row>
    <row r="27" spans="1:26" ht="30">
      <c r="A27" s="103">
        <v>8</v>
      </c>
      <c r="B27" s="100" t="s">
        <v>13</v>
      </c>
      <c r="C27" s="104">
        <f>+'B. RAČUN FIN'!D6</f>
        <v>0</v>
      </c>
      <c r="D27" s="104">
        <f>+'B. RAČUN FIN'!D17</f>
        <v>0</v>
      </c>
      <c r="E27" s="104">
        <f>+'B. RAČUN FIN'!D28</f>
        <v>0</v>
      </c>
      <c r="F27" s="92"/>
      <c r="G27" s="92"/>
      <c r="H27" s="92"/>
      <c r="I27" s="92"/>
      <c r="J27" s="92"/>
      <c r="K27" s="151">
        <f t="shared" si="0"/>
        <v>21</v>
      </c>
      <c r="L27" s="149" t="str">
        <f t="shared" si="1"/>
        <v>48267 SVEUČILIŠTE SJEVER</v>
      </c>
      <c r="M27" s="149">
        <v>48267</v>
      </c>
      <c r="N27" s="152" t="s">
        <v>309</v>
      </c>
      <c r="O27" s="153" t="s">
        <v>309</v>
      </c>
      <c r="P27" s="152" t="s">
        <v>1715</v>
      </c>
      <c r="Q27" s="152" t="s">
        <v>310</v>
      </c>
      <c r="R27" s="150">
        <v>2752298</v>
      </c>
      <c r="S27" s="146" t="s">
        <v>311</v>
      </c>
      <c r="T27" s="147" t="s">
        <v>45</v>
      </c>
      <c r="U27" s="148" t="s">
        <v>44</v>
      </c>
      <c r="V27" s="92"/>
      <c r="W27" s="92"/>
      <c r="X27" s="92"/>
      <c r="Y27" s="92"/>
      <c r="Z27" s="92"/>
    </row>
    <row r="28" spans="1:26" ht="30">
      <c r="A28" s="103">
        <v>5</v>
      </c>
      <c r="B28" s="100" t="s">
        <v>14</v>
      </c>
      <c r="C28" s="104">
        <f>+'B. RAČUN FIN'!D11</f>
        <v>0</v>
      </c>
      <c r="D28" s="104">
        <f>+'B. RAČUN FIN'!D22</f>
        <v>0</v>
      </c>
      <c r="E28" s="104">
        <f>+'B. RAČUN FIN'!D33</f>
        <v>0</v>
      </c>
      <c r="F28" s="116"/>
      <c r="G28" s="92"/>
      <c r="H28" s="92"/>
      <c r="I28" s="92"/>
      <c r="J28" s="92"/>
      <c r="K28" s="151">
        <f t="shared" si="0"/>
        <v>22</v>
      </c>
      <c r="L28" s="149" t="str">
        <f t="shared" si="1"/>
        <v>24141 SVEUČILIŠTE U DUBROVNIKU</v>
      </c>
      <c r="M28" s="149">
        <v>24141</v>
      </c>
      <c r="N28" s="152" t="s">
        <v>312</v>
      </c>
      <c r="O28" s="153" t="s">
        <v>312</v>
      </c>
      <c r="P28" s="152" t="s">
        <v>313</v>
      </c>
      <c r="Q28" s="152" t="s">
        <v>314</v>
      </c>
      <c r="R28" s="150">
        <v>1787578</v>
      </c>
      <c r="S28" s="146" t="s">
        <v>315</v>
      </c>
      <c r="T28" s="147" t="s">
        <v>45</v>
      </c>
      <c r="U28" s="148" t="s">
        <v>44</v>
      </c>
      <c r="V28" s="92"/>
      <c r="W28" s="92"/>
      <c r="X28" s="92"/>
      <c r="Y28" s="92"/>
      <c r="Z28" s="92"/>
    </row>
    <row r="29" spans="1:26" ht="30">
      <c r="A29" s="111" t="s">
        <v>11</v>
      </c>
      <c r="B29" s="247" t="s">
        <v>5083</v>
      </c>
      <c r="C29" s="109">
        <f>+'Unos prijenosa'!D5</f>
        <v>654648</v>
      </c>
      <c r="D29" s="109">
        <f>+'Unos prijenosa'!D13</f>
        <v>0</v>
      </c>
      <c r="E29" s="109">
        <f>+'Unos prijenosa'!D21</f>
        <v>0</v>
      </c>
      <c r="F29" s="92"/>
      <c r="G29" s="92"/>
      <c r="H29" s="92"/>
      <c r="I29" s="92"/>
      <c r="J29" s="92"/>
      <c r="K29" s="151">
        <f t="shared" si="0"/>
        <v>23</v>
      </c>
      <c r="L29" s="149" t="str">
        <f t="shared" si="1"/>
        <v>2444 SVEUČILIŠTE U RIJECI</v>
      </c>
      <c r="M29" s="149">
        <v>2444</v>
      </c>
      <c r="N29" s="152" t="s">
        <v>319</v>
      </c>
      <c r="O29" s="97" t="s">
        <v>319</v>
      </c>
      <c r="P29" s="152" t="s">
        <v>320</v>
      </c>
      <c r="Q29" s="152" t="s">
        <v>321</v>
      </c>
      <c r="R29" s="150">
        <v>3337413</v>
      </c>
      <c r="S29" s="146" t="s">
        <v>322</v>
      </c>
      <c r="T29" s="147" t="s">
        <v>45</v>
      </c>
      <c r="U29" s="148" t="s">
        <v>44</v>
      </c>
      <c r="V29" s="92"/>
      <c r="W29" s="92"/>
      <c r="X29" s="92"/>
      <c r="Y29" s="92"/>
      <c r="Z29" s="92"/>
    </row>
    <row r="30" spans="1:26" ht="30">
      <c r="A30" s="111" t="s">
        <v>12</v>
      </c>
      <c r="B30" s="247" t="s">
        <v>5084</v>
      </c>
      <c r="C30" s="113">
        <f>+'Unos prijenosa'!D7</f>
        <v>0</v>
      </c>
      <c r="D30" s="113">
        <f>+'Unos prijenosa'!D15</f>
        <v>0</v>
      </c>
      <c r="E30" s="114">
        <f>+'Unos prijenosa'!D23</f>
        <v>0</v>
      </c>
      <c r="F30" s="92"/>
      <c r="G30" s="92"/>
      <c r="H30" s="92"/>
      <c r="I30" s="92"/>
      <c r="J30" s="92"/>
      <c r="K30" s="151">
        <f t="shared" si="0"/>
        <v>24</v>
      </c>
      <c r="L30" s="149" t="str">
        <f t="shared" si="1"/>
        <v>38454 SVEUČILIŠTE U RIJECI - AKADEMIJA PRIMJENJENIH UMJETNOSTI</v>
      </c>
      <c r="M30" s="149">
        <v>38454</v>
      </c>
      <c r="N30" s="152" t="s">
        <v>323</v>
      </c>
      <c r="O30" s="97" t="s">
        <v>319</v>
      </c>
      <c r="P30" s="152" t="s">
        <v>324</v>
      </c>
      <c r="Q30" s="152" t="s">
        <v>321</v>
      </c>
      <c r="R30" s="150">
        <v>1954253</v>
      </c>
      <c r="S30" s="146" t="s">
        <v>325</v>
      </c>
      <c r="T30" s="147" t="s">
        <v>45</v>
      </c>
      <c r="U30" s="148" t="s">
        <v>44</v>
      </c>
      <c r="V30" s="92"/>
      <c r="W30" s="92"/>
      <c r="X30" s="92"/>
      <c r="Y30" s="92"/>
      <c r="Z30" s="92"/>
    </row>
    <row r="31" spans="1:26" ht="15.75">
      <c r="A31" s="100"/>
      <c r="B31" s="100" t="s">
        <v>15</v>
      </c>
      <c r="C31" s="108">
        <f>+C27-C28+C29+C30</f>
        <v>654648</v>
      </c>
      <c r="D31" s="108">
        <f t="shared" ref="D31:E31" si="2">+D27-D28+D29+D30</f>
        <v>0</v>
      </c>
      <c r="E31" s="108">
        <f t="shared" si="2"/>
        <v>0</v>
      </c>
      <c r="F31" s="92"/>
      <c r="G31" s="119"/>
      <c r="H31" s="92"/>
      <c r="I31" s="92"/>
      <c r="J31" s="92"/>
      <c r="K31" s="151">
        <f t="shared" si="0"/>
        <v>25</v>
      </c>
      <c r="L31" s="149" t="str">
        <f t="shared" si="1"/>
        <v>2186 SVEUČILIŠTE U RIJECI - EKONOMSKI FAKULTET</v>
      </c>
      <c r="M31" s="149">
        <v>2186</v>
      </c>
      <c r="N31" s="152" t="s">
        <v>326</v>
      </c>
      <c r="O31" s="97" t="s">
        <v>319</v>
      </c>
      <c r="P31" s="152" t="s">
        <v>327</v>
      </c>
      <c r="Q31" s="152" t="s">
        <v>321</v>
      </c>
      <c r="R31" s="150">
        <v>3328627</v>
      </c>
      <c r="S31" s="146" t="s">
        <v>328</v>
      </c>
      <c r="T31" s="147" t="s">
        <v>45</v>
      </c>
      <c r="U31" s="148" t="s">
        <v>44</v>
      </c>
      <c r="V31" s="92"/>
      <c r="W31" s="92"/>
      <c r="X31" s="92"/>
      <c r="Y31" s="92"/>
      <c r="Z31" s="92"/>
    </row>
    <row r="32" spans="1:26" ht="18.75" customHeight="1">
      <c r="B32" s="295"/>
      <c r="C32" s="294"/>
      <c r="D32" s="294"/>
      <c r="E32" s="294"/>
      <c r="F32" s="92"/>
      <c r="G32" s="92"/>
      <c r="H32" s="92"/>
      <c r="I32" s="92"/>
      <c r="J32" s="92"/>
      <c r="K32" s="151">
        <f t="shared" si="0"/>
        <v>26</v>
      </c>
      <c r="L32" s="149" t="str">
        <f t="shared" si="1"/>
        <v>2194 SVEUČILIŠTE U RIJECI - FAKULTET ZA MENADŽMENT U TURIZMU I UGOSTITELJSTVU</v>
      </c>
      <c r="M32" s="149">
        <v>2194</v>
      </c>
      <c r="N32" s="152" t="s">
        <v>329</v>
      </c>
      <c r="O32" s="97" t="s">
        <v>319</v>
      </c>
      <c r="P32" s="152" t="s">
        <v>330</v>
      </c>
      <c r="Q32" s="152" t="s">
        <v>331</v>
      </c>
      <c r="R32" s="150">
        <v>3091732</v>
      </c>
      <c r="S32" s="146" t="s">
        <v>332</v>
      </c>
      <c r="T32" s="147" t="s">
        <v>45</v>
      </c>
      <c r="U32" s="148" t="s">
        <v>44</v>
      </c>
      <c r="V32" s="92"/>
      <c r="W32" s="92"/>
      <c r="X32" s="92"/>
      <c r="Y32" s="92"/>
      <c r="Z32" s="92"/>
    </row>
    <row r="33" spans="1:26" ht="30">
      <c r="A33" s="117"/>
      <c r="B33" s="117" t="s">
        <v>5086</v>
      </c>
      <c r="C33" s="118">
        <f>+C22+C31</f>
        <v>0</v>
      </c>
      <c r="D33" s="118">
        <f>+D22+D31</f>
        <v>0</v>
      </c>
      <c r="E33" s="118">
        <f>+E22+E31</f>
        <v>0</v>
      </c>
      <c r="F33" s="120"/>
      <c r="G33" s="121"/>
      <c r="H33" s="121"/>
      <c r="I33" s="121"/>
      <c r="J33" s="121"/>
      <c r="K33" s="151">
        <f t="shared" si="0"/>
        <v>27</v>
      </c>
      <c r="L33" s="149" t="str">
        <f t="shared" si="1"/>
        <v>48023 SVEUČILIŠTE U RIJECI - FAKULTET ZDRAVSTVENIH STUDIJA U RIJECI</v>
      </c>
      <c r="M33" s="149">
        <v>48023</v>
      </c>
      <c r="N33" s="152" t="s">
        <v>356</v>
      </c>
      <c r="O33" s="97" t="s">
        <v>319</v>
      </c>
      <c r="P33" s="152" t="s">
        <v>357</v>
      </c>
      <c r="Q33" s="152" t="s">
        <v>321</v>
      </c>
      <c r="R33" s="150" t="s">
        <v>358</v>
      </c>
      <c r="S33" s="146" t="s">
        <v>359</v>
      </c>
      <c r="T33" s="147" t="s">
        <v>45</v>
      </c>
      <c r="U33" s="148" t="s">
        <v>44</v>
      </c>
      <c r="V33" s="121"/>
      <c r="W33" s="121"/>
      <c r="X33" s="121"/>
      <c r="Y33" s="121"/>
      <c r="Z33" s="121"/>
    </row>
    <row r="34" spans="1:26" ht="15.75">
      <c r="A34" s="98"/>
      <c r="B34" s="98"/>
      <c r="C34" s="92"/>
      <c r="D34" s="92"/>
      <c r="E34" s="92"/>
      <c r="F34" s="92"/>
      <c r="G34" s="92"/>
      <c r="H34" s="92"/>
      <c r="I34" s="92"/>
      <c r="J34" s="92"/>
      <c r="K34" s="151">
        <f t="shared" si="0"/>
        <v>28</v>
      </c>
      <c r="L34" s="149" t="str">
        <f t="shared" si="1"/>
        <v>22857 SVEUČILIŠTE U RIJECI - FILOZOFSKI FAKULTET</v>
      </c>
      <c r="M34" s="149">
        <v>22857</v>
      </c>
      <c r="N34" s="152" t="s">
        <v>333</v>
      </c>
      <c r="O34" s="97" t="s">
        <v>319</v>
      </c>
      <c r="P34" s="152" t="s">
        <v>334</v>
      </c>
      <c r="Q34" s="152" t="s">
        <v>321</v>
      </c>
      <c r="R34" s="150">
        <v>3368491</v>
      </c>
      <c r="S34" s="146" t="s">
        <v>335</v>
      </c>
      <c r="T34" s="147" t="s">
        <v>45</v>
      </c>
      <c r="U34" s="148" t="s">
        <v>44</v>
      </c>
      <c r="V34" s="92"/>
      <c r="W34" s="92"/>
      <c r="X34" s="92"/>
      <c r="Y34" s="92"/>
      <c r="Z34" s="92"/>
    </row>
    <row r="35" spans="1:26" ht="15.75">
      <c r="A35" s="92"/>
      <c r="B35" s="92"/>
      <c r="C35" s="92"/>
      <c r="D35" s="92"/>
      <c r="E35" s="92"/>
      <c r="F35" s="92"/>
      <c r="G35" s="92"/>
      <c r="H35" s="92"/>
      <c r="I35" s="92"/>
      <c r="J35" s="92"/>
      <c r="K35" s="151">
        <f t="shared" si="0"/>
        <v>29</v>
      </c>
      <c r="L35" s="149" t="str">
        <f t="shared" si="1"/>
        <v>2160 SVEUČILIŠTE U RIJECI - GRAĐEVINSKI FAKULTET</v>
      </c>
      <c r="M35" s="149">
        <v>2160</v>
      </c>
      <c r="N35" s="152" t="s">
        <v>1716</v>
      </c>
      <c r="O35" s="97" t="s">
        <v>319</v>
      </c>
      <c r="P35" s="152" t="s">
        <v>336</v>
      </c>
      <c r="Q35" s="152" t="s">
        <v>321</v>
      </c>
      <c r="R35" s="150">
        <v>3395855</v>
      </c>
      <c r="S35" s="146" t="s">
        <v>337</v>
      </c>
      <c r="T35" s="147" t="s">
        <v>45</v>
      </c>
      <c r="U35" s="148" t="s">
        <v>44</v>
      </c>
      <c r="V35" s="92"/>
      <c r="W35" s="92"/>
      <c r="X35" s="92"/>
      <c r="Y35" s="92"/>
      <c r="Z35" s="92"/>
    </row>
    <row r="36" spans="1:26" ht="15.75">
      <c r="A36" s="92"/>
      <c r="B36" s="92"/>
      <c r="C36" s="92"/>
      <c r="D36" s="92"/>
      <c r="E36" s="92"/>
      <c r="F36" s="92"/>
      <c r="G36" s="92"/>
      <c r="H36" s="92"/>
      <c r="I36" s="92"/>
      <c r="J36" s="92"/>
      <c r="K36" s="151">
        <f t="shared" si="0"/>
        <v>30</v>
      </c>
      <c r="L36" s="149" t="str">
        <f t="shared" si="1"/>
        <v>2225 SVEUČILIŠTE U RIJECI - MEDICINSKI FAKULTET</v>
      </c>
      <c r="M36" s="149">
        <v>2225</v>
      </c>
      <c r="N36" s="152" t="s">
        <v>338</v>
      </c>
      <c r="O36" s="97" t="s">
        <v>319</v>
      </c>
      <c r="P36" s="152" t="s">
        <v>339</v>
      </c>
      <c r="Q36" s="152" t="s">
        <v>321</v>
      </c>
      <c r="R36" s="150">
        <v>3328554</v>
      </c>
      <c r="S36" s="146" t="s">
        <v>340</v>
      </c>
      <c r="T36" s="147" t="s">
        <v>45</v>
      </c>
      <c r="U36" s="148" t="s">
        <v>44</v>
      </c>
      <c r="V36" s="92"/>
      <c r="W36" s="92"/>
      <c r="X36" s="92"/>
      <c r="Y36" s="92"/>
      <c r="Z36" s="92"/>
    </row>
    <row r="37" spans="1:26" ht="15.75">
      <c r="A37" s="92"/>
      <c r="B37" s="92"/>
      <c r="C37" s="92"/>
      <c r="D37" s="92"/>
      <c r="E37" s="92"/>
      <c r="F37" s="92"/>
      <c r="G37" s="92"/>
      <c r="H37" s="92"/>
      <c r="I37" s="92"/>
      <c r="J37" s="92"/>
      <c r="K37" s="151">
        <f t="shared" si="0"/>
        <v>31</v>
      </c>
      <c r="L37" s="149" t="str">
        <f t="shared" si="1"/>
        <v>22568 SVEUČILIŠTE U RIJECI - POMORSKI FAKULTET</v>
      </c>
      <c r="M37" s="149">
        <v>22568</v>
      </c>
      <c r="N37" s="152" t="s">
        <v>341</v>
      </c>
      <c r="O37" s="97" t="s">
        <v>319</v>
      </c>
      <c r="P37" s="152" t="s">
        <v>342</v>
      </c>
      <c r="Q37" s="152" t="s">
        <v>321</v>
      </c>
      <c r="R37" s="150">
        <v>1580485</v>
      </c>
      <c r="S37" s="146" t="s">
        <v>343</v>
      </c>
      <c r="T37" s="147" t="s">
        <v>45</v>
      </c>
      <c r="U37" s="148" t="s">
        <v>44</v>
      </c>
      <c r="V37" s="92"/>
      <c r="W37" s="92"/>
      <c r="X37" s="92"/>
      <c r="Y37" s="92"/>
      <c r="Z37" s="92"/>
    </row>
    <row r="38" spans="1:26" ht="15.75">
      <c r="A38" s="92"/>
      <c r="B38" s="92"/>
      <c r="C38" s="92"/>
      <c r="D38" s="92"/>
      <c r="E38" s="92"/>
      <c r="F38" s="92"/>
      <c r="G38" s="92"/>
      <c r="H38" s="92"/>
      <c r="I38" s="92"/>
      <c r="J38" s="92"/>
      <c r="K38" s="151">
        <f t="shared" si="0"/>
        <v>32</v>
      </c>
      <c r="L38" s="149" t="str">
        <f t="shared" si="1"/>
        <v>2217 SVEUČILIŠTE U RIJECI - PRAVNI FAKULTET</v>
      </c>
      <c r="M38" s="149">
        <v>2217</v>
      </c>
      <c r="N38" s="152" t="s">
        <v>344</v>
      </c>
      <c r="O38" s="97" t="s">
        <v>319</v>
      </c>
      <c r="P38" s="152" t="s">
        <v>345</v>
      </c>
      <c r="Q38" s="152" t="s">
        <v>321</v>
      </c>
      <c r="R38" s="150">
        <v>3328562</v>
      </c>
      <c r="S38" s="146" t="s">
        <v>346</v>
      </c>
      <c r="T38" s="147" t="s">
        <v>45</v>
      </c>
      <c r="U38" s="148" t="s">
        <v>44</v>
      </c>
      <c r="V38" s="92"/>
      <c r="W38" s="92"/>
      <c r="X38" s="92"/>
      <c r="Y38" s="92"/>
      <c r="Z38" s="92"/>
    </row>
    <row r="39" spans="1:26" ht="15.75">
      <c r="A39" s="92"/>
      <c r="B39" s="92"/>
      <c r="C39" s="92"/>
      <c r="D39" s="92"/>
      <c r="E39" s="92"/>
      <c r="F39" s="92"/>
      <c r="G39" s="92"/>
      <c r="H39" s="92"/>
      <c r="I39" s="92"/>
      <c r="J39" s="92"/>
      <c r="K39" s="151">
        <f t="shared" si="0"/>
        <v>33</v>
      </c>
      <c r="L39" s="149" t="str">
        <f t="shared" si="1"/>
        <v>2493 SVEUČILIŠTE U RIJECI - SVEUČILIŠNA KNJIŽNICA</v>
      </c>
      <c r="M39" s="149">
        <v>2493</v>
      </c>
      <c r="N39" s="152" t="s">
        <v>347</v>
      </c>
      <c r="O39" s="97" t="s">
        <v>319</v>
      </c>
      <c r="P39" s="152" t="s">
        <v>348</v>
      </c>
      <c r="Q39" s="152" t="s">
        <v>321</v>
      </c>
      <c r="R39" s="150">
        <v>3328686</v>
      </c>
      <c r="S39" s="146" t="s">
        <v>349</v>
      </c>
      <c r="T39" s="147" t="s">
        <v>45</v>
      </c>
      <c r="U39" s="148" t="s">
        <v>44</v>
      </c>
      <c r="V39" s="92"/>
      <c r="W39" s="92"/>
      <c r="X39" s="92"/>
      <c r="Y39" s="92"/>
      <c r="Z39" s="92"/>
    </row>
    <row r="40" spans="1:26" ht="15.75">
      <c r="A40" s="92"/>
      <c r="B40" s="92"/>
      <c r="C40" s="92"/>
      <c r="D40" s="92"/>
      <c r="E40" s="92"/>
      <c r="F40" s="92"/>
      <c r="G40" s="92"/>
      <c r="H40" s="92"/>
      <c r="I40" s="92"/>
      <c r="J40" s="92"/>
      <c r="K40" s="151">
        <f t="shared" si="0"/>
        <v>34</v>
      </c>
      <c r="L40" s="149" t="str">
        <f t="shared" si="1"/>
        <v>2151 SVEUČILIŠTE U RIJECI - TEHNIČKI FAKULTET</v>
      </c>
      <c r="M40" s="149">
        <v>2151</v>
      </c>
      <c r="N40" s="152" t="s">
        <v>350</v>
      </c>
      <c r="O40" s="97" t="s">
        <v>319</v>
      </c>
      <c r="P40" s="152" t="s">
        <v>351</v>
      </c>
      <c r="Q40" s="152" t="s">
        <v>321</v>
      </c>
      <c r="R40" s="150">
        <v>3334317</v>
      </c>
      <c r="S40" s="146" t="s">
        <v>352</v>
      </c>
      <c r="T40" s="147" t="s">
        <v>45</v>
      </c>
      <c r="U40" s="148" t="s">
        <v>44</v>
      </c>
      <c r="V40" s="92"/>
      <c r="W40" s="92"/>
      <c r="X40" s="92"/>
      <c r="Y40" s="92"/>
      <c r="Z40" s="92"/>
    </row>
    <row r="41" spans="1:26" ht="15.75">
      <c r="A41" s="92"/>
      <c r="B41" s="92"/>
      <c r="C41" s="92"/>
      <c r="D41" s="92"/>
      <c r="E41" s="92"/>
      <c r="F41" s="92"/>
      <c r="G41" s="92"/>
      <c r="H41" s="92"/>
      <c r="I41" s="92"/>
      <c r="J41" s="92"/>
      <c r="K41" s="151">
        <f t="shared" si="0"/>
        <v>35</v>
      </c>
      <c r="L41" s="149" t="str">
        <f t="shared" si="1"/>
        <v>40947 SVEUČILIŠTE U RIJECI - UČITELJSKI FAKULTET</v>
      </c>
      <c r="M41" s="149">
        <v>40947</v>
      </c>
      <c r="N41" s="152" t="s">
        <v>353</v>
      </c>
      <c r="O41" s="97" t="s">
        <v>319</v>
      </c>
      <c r="P41" s="152" t="s">
        <v>354</v>
      </c>
      <c r="Q41" s="152" t="s">
        <v>321</v>
      </c>
      <c r="R41" s="150">
        <v>2116073</v>
      </c>
      <c r="S41" s="146" t="s">
        <v>355</v>
      </c>
      <c r="T41" s="147" t="s">
        <v>45</v>
      </c>
      <c r="U41" s="148" t="s">
        <v>44</v>
      </c>
      <c r="V41" s="92"/>
      <c r="W41" s="92"/>
      <c r="X41" s="92"/>
      <c r="Y41" s="92"/>
      <c r="Z41" s="92"/>
    </row>
    <row r="42" spans="1:26" ht="15.75">
      <c r="A42" s="92"/>
      <c r="B42" s="92"/>
      <c r="C42" s="92"/>
      <c r="D42" s="92"/>
      <c r="E42" s="92"/>
      <c r="F42" s="92"/>
      <c r="G42" s="92"/>
      <c r="H42" s="92"/>
      <c r="I42" s="92"/>
      <c r="J42" s="92"/>
      <c r="K42" s="151">
        <f t="shared" si="0"/>
        <v>36</v>
      </c>
      <c r="L42" s="149" t="str">
        <f t="shared" si="1"/>
        <v>51360 SVEUČILIŠTE U SLAVONSKOM BRODU</v>
      </c>
      <c r="M42" s="149">
        <v>51360</v>
      </c>
      <c r="N42" s="152" t="s">
        <v>1714</v>
      </c>
      <c r="O42" s="159" t="s">
        <v>1714</v>
      </c>
      <c r="P42" s="152" t="s">
        <v>1771</v>
      </c>
      <c r="Q42" s="152" t="s">
        <v>1772</v>
      </c>
      <c r="R42" s="150">
        <v>5290538</v>
      </c>
      <c r="S42" s="146" t="s">
        <v>1773</v>
      </c>
      <c r="T42" s="147" t="s">
        <v>45</v>
      </c>
      <c r="U42" s="148" t="s">
        <v>44</v>
      </c>
      <c r="V42" s="92"/>
      <c r="W42" s="92"/>
      <c r="X42" s="92"/>
      <c r="Y42" s="92"/>
      <c r="Z42" s="92"/>
    </row>
    <row r="43" spans="1:26" ht="15.75">
      <c r="A43" s="92"/>
      <c r="B43" s="92"/>
      <c r="C43" s="92"/>
      <c r="D43" s="92"/>
      <c r="E43" s="92"/>
      <c r="F43" s="92"/>
      <c r="G43" s="92"/>
      <c r="H43" s="92"/>
      <c r="I43" s="92"/>
      <c r="J43" s="92"/>
      <c r="K43" s="151">
        <f t="shared" si="0"/>
        <v>37</v>
      </c>
      <c r="L43" s="149" t="str">
        <f t="shared" si="1"/>
        <v>2469 SVEUČILIŠTE U SPLITU</v>
      </c>
      <c r="M43" s="149">
        <v>2469</v>
      </c>
      <c r="N43" s="152" t="s">
        <v>360</v>
      </c>
      <c r="O43" s="153" t="s">
        <v>360</v>
      </c>
      <c r="P43" s="152" t="s">
        <v>370</v>
      </c>
      <c r="Q43" s="152" t="s">
        <v>361</v>
      </c>
      <c r="R43" s="150">
        <v>3129306</v>
      </c>
      <c r="S43" s="146" t="s">
        <v>362</v>
      </c>
      <c r="T43" s="147" t="s">
        <v>45</v>
      </c>
      <c r="U43" s="148" t="s">
        <v>44</v>
      </c>
      <c r="V43" s="92"/>
      <c r="W43" s="92"/>
      <c r="X43" s="92"/>
      <c r="Y43" s="92"/>
      <c r="Z43" s="92"/>
    </row>
    <row r="44" spans="1:26" ht="15.75">
      <c r="A44" s="92"/>
      <c r="B44" s="92"/>
      <c r="C44" s="92"/>
      <c r="D44" s="92"/>
      <c r="E44" s="92"/>
      <c r="F44" s="92"/>
      <c r="G44" s="92"/>
      <c r="H44" s="92"/>
      <c r="I44" s="92"/>
      <c r="J44" s="92"/>
      <c r="K44" s="151">
        <f t="shared" si="0"/>
        <v>38</v>
      </c>
      <c r="L44" s="149" t="str">
        <f t="shared" si="1"/>
        <v>2372 SVEUČILIŠTE U SPLITU - EKONOMSKI FAKULTET</v>
      </c>
      <c r="M44" s="149">
        <v>2372</v>
      </c>
      <c r="N44" s="152" t="s">
        <v>363</v>
      </c>
      <c r="O44" s="153" t="s">
        <v>360</v>
      </c>
      <c r="P44" s="152" t="s">
        <v>364</v>
      </c>
      <c r="Q44" s="152" t="s">
        <v>361</v>
      </c>
      <c r="R44" s="150">
        <v>3119076</v>
      </c>
      <c r="S44" s="146" t="s">
        <v>365</v>
      </c>
      <c r="T44" s="147" t="s">
        <v>45</v>
      </c>
      <c r="U44" s="148" t="s">
        <v>44</v>
      </c>
      <c r="V44" s="92"/>
      <c r="W44" s="92"/>
      <c r="X44" s="92"/>
      <c r="Y44" s="92"/>
      <c r="Z44" s="92"/>
    </row>
    <row r="45" spans="1:26" ht="15.75">
      <c r="A45" s="92"/>
      <c r="B45" s="92"/>
      <c r="C45" s="92"/>
      <c r="D45" s="92"/>
      <c r="E45" s="92"/>
      <c r="F45" s="92"/>
      <c r="G45" s="92"/>
      <c r="H45" s="92"/>
      <c r="I45" s="92"/>
      <c r="J45" s="92"/>
      <c r="K45" s="151">
        <f t="shared" si="0"/>
        <v>39</v>
      </c>
      <c r="L45" s="149" t="str">
        <f t="shared" si="1"/>
        <v>2330 SVEUČILIŠTE U SPLITU - FAKULTET ELEKTROTEHNIKE, STROJARSTVA I BRODOGRADNJE</v>
      </c>
      <c r="M45" s="149">
        <v>2330</v>
      </c>
      <c r="N45" s="152" t="s">
        <v>366</v>
      </c>
      <c r="O45" s="153" t="s">
        <v>360</v>
      </c>
      <c r="P45" s="152" t="s">
        <v>367</v>
      </c>
      <c r="Q45" s="152" t="s">
        <v>361</v>
      </c>
      <c r="R45" s="150">
        <v>3118339</v>
      </c>
      <c r="S45" s="146" t="s">
        <v>368</v>
      </c>
      <c r="T45" s="147" t="s">
        <v>45</v>
      </c>
      <c r="U45" s="148" t="s">
        <v>44</v>
      </c>
      <c r="V45" s="92"/>
      <c r="W45" s="92"/>
      <c r="X45" s="92"/>
      <c r="Y45" s="92"/>
      <c r="Z45" s="92"/>
    </row>
    <row r="46" spans="1:26" ht="15.75">
      <c r="A46" s="92"/>
      <c r="B46" s="92"/>
      <c r="C46" s="92"/>
      <c r="D46" s="92"/>
      <c r="E46" s="92"/>
      <c r="F46" s="92"/>
      <c r="G46" s="92"/>
      <c r="H46" s="92"/>
      <c r="I46" s="92"/>
      <c r="J46" s="92"/>
      <c r="K46" s="151">
        <f t="shared" si="0"/>
        <v>40</v>
      </c>
      <c r="L46" s="149" t="str">
        <f t="shared" si="1"/>
        <v>2348 SVEUČILIŠTE U SPLITU - FAKULTET GRAĐEVINARSTVA, ARHITEKTURE I GEODEZIJE</v>
      </c>
      <c r="M46" s="149">
        <v>2348</v>
      </c>
      <c r="N46" s="152" t="s">
        <v>372</v>
      </c>
      <c r="O46" s="153" t="s">
        <v>360</v>
      </c>
      <c r="P46" s="152" t="s">
        <v>373</v>
      </c>
      <c r="Q46" s="152" t="s">
        <v>361</v>
      </c>
      <c r="R46" s="150">
        <v>3149463</v>
      </c>
      <c r="S46" s="146" t="s">
        <v>374</v>
      </c>
      <c r="T46" s="147" t="s">
        <v>45</v>
      </c>
      <c r="U46" s="148" t="s">
        <v>44</v>
      </c>
      <c r="V46" s="92"/>
      <c r="W46" s="92"/>
      <c r="X46" s="92"/>
      <c r="Y46" s="92"/>
      <c r="Z46" s="92"/>
    </row>
    <row r="47" spans="1:26" ht="15.75">
      <c r="A47" s="92"/>
      <c r="B47" s="92"/>
      <c r="C47" s="92"/>
      <c r="D47" s="92"/>
      <c r="E47" s="92"/>
      <c r="F47" s="92"/>
      <c r="G47" s="92"/>
      <c r="H47" s="92"/>
      <c r="I47" s="92"/>
      <c r="J47" s="92"/>
      <c r="K47" s="151">
        <f t="shared" si="0"/>
        <v>41</v>
      </c>
      <c r="L47" s="149" t="str">
        <f t="shared" si="1"/>
        <v>22435 SVEUČILIŠTE U SPLITU - FILOZOFSKI FAKULTET</v>
      </c>
      <c r="M47" s="149">
        <v>22435</v>
      </c>
      <c r="N47" s="152" t="s">
        <v>369</v>
      </c>
      <c r="O47" s="153" t="s">
        <v>360</v>
      </c>
      <c r="P47" s="152" t="s">
        <v>370</v>
      </c>
      <c r="Q47" s="152" t="s">
        <v>361</v>
      </c>
      <c r="R47" s="150">
        <v>1413236</v>
      </c>
      <c r="S47" s="146" t="s">
        <v>371</v>
      </c>
      <c r="T47" s="147" t="s">
        <v>45</v>
      </c>
      <c r="U47" s="148" t="s">
        <v>44</v>
      </c>
      <c r="V47" s="92"/>
      <c r="W47" s="92"/>
      <c r="X47" s="92"/>
      <c r="Y47" s="92"/>
      <c r="Z47" s="92"/>
    </row>
    <row r="48" spans="1:26" ht="15.75">
      <c r="A48" s="92"/>
      <c r="B48" s="92"/>
      <c r="C48" s="92"/>
      <c r="D48" s="92"/>
      <c r="E48" s="92"/>
      <c r="F48" s="92"/>
      <c r="G48" s="92"/>
      <c r="H48" s="92"/>
      <c r="I48" s="92"/>
      <c r="J48" s="92"/>
      <c r="K48" s="151">
        <f t="shared" si="0"/>
        <v>42</v>
      </c>
      <c r="L48" s="149" t="str">
        <f t="shared" si="1"/>
        <v>23368 SVEUČILIŠTE U SPLITU - KATOLIČKI BOGOSLOVNI FAKULTET</v>
      </c>
      <c r="M48" s="149">
        <v>23368</v>
      </c>
      <c r="N48" s="152" t="s">
        <v>380</v>
      </c>
      <c r="O48" s="153" t="s">
        <v>360</v>
      </c>
      <c r="P48" s="152" t="s">
        <v>381</v>
      </c>
      <c r="Q48" s="152" t="s">
        <v>361</v>
      </c>
      <c r="R48" s="150">
        <v>1465643</v>
      </c>
      <c r="S48" s="146">
        <v>36149548625</v>
      </c>
      <c r="T48" s="147" t="s">
        <v>45</v>
      </c>
      <c r="U48" s="148" t="s">
        <v>44</v>
      </c>
      <c r="V48" s="92"/>
      <c r="W48" s="92"/>
      <c r="X48" s="92"/>
      <c r="Y48" s="92"/>
      <c r="Z48" s="92"/>
    </row>
    <row r="49" spans="1:26" ht="15.75">
      <c r="A49" s="92"/>
      <c r="B49" s="92"/>
      <c r="C49" s="92"/>
      <c r="D49" s="92"/>
      <c r="E49" s="92"/>
      <c r="F49" s="92"/>
      <c r="G49" s="92"/>
      <c r="H49" s="92"/>
      <c r="I49" s="92"/>
      <c r="J49" s="92"/>
      <c r="K49" s="151">
        <f t="shared" si="0"/>
        <v>43</v>
      </c>
      <c r="L49" s="149" t="str">
        <f t="shared" si="1"/>
        <v>2356 SVEUČILIŠTE U SPLITU - KEMIJSKO-TEHNOLOŠKI FAKULTET</v>
      </c>
      <c r="M49" s="149">
        <v>2356</v>
      </c>
      <c r="N49" s="152" t="s">
        <v>375</v>
      </c>
      <c r="O49" s="153" t="s">
        <v>360</v>
      </c>
      <c r="P49" s="152" t="s">
        <v>1717</v>
      </c>
      <c r="Q49" s="152" t="s">
        <v>361</v>
      </c>
      <c r="R49" s="150">
        <v>3119068</v>
      </c>
      <c r="S49" s="146" t="s">
        <v>376</v>
      </c>
      <c r="T49" s="147" t="s">
        <v>45</v>
      </c>
      <c r="U49" s="148" t="s">
        <v>44</v>
      </c>
      <c r="V49" s="92"/>
      <c r="W49" s="92"/>
      <c r="X49" s="92"/>
      <c r="Y49" s="92"/>
      <c r="Z49" s="92"/>
    </row>
    <row r="50" spans="1:26" ht="15.75">
      <c r="A50" s="92"/>
      <c r="B50" s="92"/>
      <c r="C50" s="92"/>
      <c r="D50" s="92"/>
      <c r="E50" s="92"/>
      <c r="F50" s="92"/>
      <c r="G50" s="92"/>
      <c r="H50" s="92"/>
      <c r="I50" s="92"/>
      <c r="J50" s="92"/>
      <c r="K50" s="151">
        <f t="shared" si="0"/>
        <v>44</v>
      </c>
      <c r="L50" s="149" t="str">
        <f t="shared" si="1"/>
        <v>43773 SVEUČILIŠTE U SPLITU - KINEZIOLOŠKI FAKULTET</v>
      </c>
      <c r="M50" s="149">
        <v>43773</v>
      </c>
      <c r="N50" s="152" t="s">
        <v>377</v>
      </c>
      <c r="O50" s="153" t="s">
        <v>360</v>
      </c>
      <c r="P50" s="152" t="s">
        <v>378</v>
      </c>
      <c r="Q50" s="152" t="s">
        <v>361</v>
      </c>
      <c r="R50" s="150">
        <v>2393255</v>
      </c>
      <c r="S50" s="146" t="s">
        <v>379</v>
      </c>
      <c r="T50" s="147" t="s">
        <v>45</v>
      </c>
      <c r="U50" s="148" t="s">
        <v>44</v>
      </c>
      <c r="V50" s="92"/>
      <c r="W50" s="92"/>
      <c r="X50" s="92"/>
      <c r="Y50" s="92"/>
      <c r="Z50" s="92"/>
    </row>
    <row r="51" spans="1:26" ht="15.75">
      <c r="A51" s="92"/>
      <c r="B51" s="92"/>
      <c r="C51" s="92"/>
      <c r="D51" s="92"/>
      <c r="E51" s="92"/>
      <c r="F51" s="92"/>
      <c r="G51" s="92"/>
      <c r="H51" s="92"/>
      <c r="I51" s="92"/>
      <c r="J51" s="92"/>
      <c r="K51" s="151">
        <f t="shared" si="0"/>
        <v>45</v>
      </c>
      <c r="L51" s="149" t="str">
        <f t="shared" si="1"/>
        <v>22451 SVEUČILIŠTE U SPLITU - MEDICINSKI FAKULTET</v>
      </c>
      <c r="M51" s="149">
        <v>22451</v>
      </c>
      <c r="N51" s="152" t="s">
        <v>382</v>
      </c>
      <c r="O51" s="153" t="s">
        <v>360</v>
      </c>
      <c r="P51" s="152" t="s">
        <v>383</v>
      </c>
      <c r="Q51" s="152" t="s">
        <v>361</v>
      </c>
      <c r="R51" s="150">
        <v>1315366</v>
      </c>
      <c r="S51" s="146" t="s">
        <v>384</v>
      </c>
      <c r="T51" s="147" t="s">
        <v>45</v>
      </c>
      <c r="U51" s="148" t="s">
        <v>44</v>
      </c>
      <c r="V51" s="92"/>
      <c r="W51" s="92"/>
      <c r="X51" s="92"/>
      <c r="Y51" s="92"/>
      <c r="Z51" s="92"/>
    </row>
    <row r="52" spans="1:26" ht="15.75">
      <c r="A52" s="92"/>
      <c r="B52" s="92"/>
      <c r="C52" s="92"/>
      <c r="D52" s="92"/>
      <c r="E52" s="92"/>
      <c r="F52" s="92"/>
      <c r="G52" s="92"/>
      <c r="H52" s="92"/>
      <c r="I52" s="92"/>
      <c r="J52" s="92"/>
      <c r="K52" s="151">
        <f t="shared" si="0"/>
        <v>46</v>
      </c>
      <c r="L52" s="149" t="str">
        <f t="shared" si="1"/>
        <v>22460 SVEUČILIŠTE U SPLITU - POMORSKI FAKULTET</v>
      </c>
      <c r="M52" s="149">
        <v>22460</v>
      </c>
      <c r="N52" s="152" t="s">
        <v>385</v>
      </c>
      <c r="O52" s="153" t="s">
        <v>360</v>
      </c>
      <c r="P52" s="152" t="s">
        <v>1718</v>
      </c>
      <c r="Q52" s="152" t="s">
        <v>361</v>
      </c>
      <c r="R52" s="150">
        <v>1406043</v>
      </c>
      <c r="S52" s="146" t="s">
        <v>386</v>
      </c>
      <c r="T52" s="147" t="s">
        <v>45</v>
      </c>
      <c r="U52" s="148" t="s">
        <v>44</v>
      </c>
      <c r="V52" s="92"/>
      <c r="W52" s="92"/>
      <c r="X52" s="92"/>
      <c r="Y52" s="92"/>
      <c r="Z52" s="92"/>
    </row>
    <row r="53" spans="1:26" ht="15.75">
      <c r="A53" s="92"/>
      <c r="B53" s="92"/>
      <c r="C53" s="92"/>
      <c r="D53" s="92"/>
      <c r="E53" s="92"/>
      <c r="F53" s="92"/>
      <c r="G53" s="92"/>
      <c r="H53" s="92"/>
      <c r="I53" s="92"/>
      <c r="J53" s="92"/>
      <c r="K53" s="151">
        <f t="shared" si="0"/>
        <v>47</v>
      </c>
      <c r="L53" s="149" t="str">
        <f t="shared" si="1"/>
        <v>2397 SVEUČILIŠTE U SPLITU - PRAVNI FAKULTET</v>
      </c>
      <c r="M53" s="149">
        <v>2397</v>
      </c>
      <c r="N53" s="152" t="s">
        <v>387</v>
      </c>
      <c r="O53" s="153" t="s">
        <v>360</v>
      </c>
      <c r="P53" s="152" t="s">
        <v>388</v>
      </c>
      <c r="Q53" s="152" t="s">
        <v>361</v>
      </c>
      <c r="R53" s="150">
        <v>3118347</v>
      </c>
      <c r="S53" s="146" t="s">
        <v>389</v>
      </c>
      <c r="T53" s="147" t="s">
        <v>45</v>
      </c>
      <c r="U53" s="148" t="s">
        <v>44</v>
      </c>
      <c r="V53" s="92"/>
      <c r="W53" s="92"/>
      <c r="X53" s="92"/>
      <c r="Y53" s="92"/>
      <c r="Z53" s="92"/>
    </row>
    <row r="54" spans="1:26" ht="15.75">
      <c r="A54" s="92"/>
      <c r="B54" s="92"/>
      <c r="C54" s="92"/>
      <c r="D54" s="92"/>
      <c r="E54" s="92"/>
      <c r="F54" s="92"/>
      <c r="G54" s="92"/>
      <c r="H54" s="92"/>
      <c r="I54" s="92"/>
      <c r="J54" s="92"/>
      <c r="K54" s="151">
        <f t="shared" si="0"/>
        <v>48</v>
      </c>
      <c r="L54" s="149" t="str">
        <f t="shared" si="1"/>
        <v>2410 SVEUČILIŠTE U SPLITU - PRIRODOSLOVNO - MATEMATIČKI FAKULTET</v>
      </c>
      <c r="M54" s="149">
        <v>2410</v>
      </c>
      <c r="N54" s="152" t="s">
        <v>390</v>
      </c>
      <c r="O54" s="153" t="s">
        <v>360</v>
      </c>
      <c r="P54" s="152" t="s">
        <v>1719</v>
      </c>
      <c r="Q54" s="152" t="s">
        <v>361</v>
      </c>
      <c r="R54" s="150">
        <v>3199622</v>
      </c>
      <c r="S54" s="146" t="s">
        <v>391</v>
      </c>
      <c r="T54" s="147" t="s">
        <v>45</v>
      </c>
      <c r="U54" s="148" t="s">
        <v>44</v>
      </c>
      <c r="V54" s="92"/>
      <c r="W54" s="92"/>
      <c r="X54" s="92"/>
      <c r="Y54" s="92"/>
      <c r="Z54" s="92"/>
    </row>
    <row r="55" spans="1:26" ht="15.75">
      <c r="B55" s="293" t="s">
        <v>5270</v>
      </c>
      <c r="C55" s="294"/>
      <c r="D55" s="294"/>
      <c r="E55" s="294"/>
      <c r="F55" s="92"/>
      <c r="G55" s="92"/>
      <c r="H55" s="92"/>
      <c r="I55" s="92"/>
      <c r="J55" s="92"/>
      <c r="K55" s="151">
        <f t="shared" si="0"/>
        <v>49</v>
      </c>
      <c r="L55" s="149" t="str">
        <f t="shared" si="1"/>
        <v>2524 SVEUČILIŠTE U SPLITU - SVEUČILIŠNA KNJIŽNICA</v>
      </c>
      <c r="M55" s="149">
        <v>2524</v>
      </c>
      <c r="N55" s="152" t="s">
        <v>392</v>
      </c>
      <c r="O55" s="153" t="s">
        <v>360</v>
      </c>
      <c r="P55" s="152" t="s">
        <v>393</v>
      </c>
      <c r="Q55" s="152" t="s">
        <v>361</v>
      </c>
      <c r="R55" s="150">
        <v>3118436</v>
      </c>
      <c r="S55" s="146" t="s">
        <v>394</v>
      </c>
      <c r="T55" s="147" t="s">
        <v>45</v>
      </c>
      <c r="U55" s="148" t="s">
        <v>44</v>
      </c>
      <c r="V55" s="92"/>
      <c r="W55" s="92"/>
      <c r="X55" s="92"/>
      <c r="Y55" s="92"/>
      <c r="Z55" s="92"/>
    </row>
    <row r="56" spans="1:26" ht="15.75">
      <c r="B56" s="248"/>
      <c r="F56" s="92"/>
      <c r="G56" s="92"/>
      <c r="H56" s="92"/>
      <c r="I56" s="92"/>
      <c r="J56" s="92"/>
      <c r="K56" s="151">
        <f t="shared" si="0"/>
        <v>50</v>
      </c>
      <c r="L56" s="149" t="str">
        <f t="shared" si="1"/>
        <v>22478 SVEUČILIŠTE U SPLITU - UMJETNIČKA AKADEMIJA</v>
      </c>
      <c r="M56" s="149">
        <v>22478</v>
      </c>
      <c r="N56" s="152" t="s">
        <v>395</v>
      </c>
      <c r="O56" s="153" t="s">
        <v>360</v>
      </c>
      <c r="P56" s="152" t="s">
        <v>396</v>
      </c>
      <c r="Q56" s="152" t="s">
        <v>361</v>
      </c>
      <c r="R56" s="150">
        <v>1321358</v>
      </c>
      <c r="S56" s="146" t="s">
        <v>397</v>
      </c>
      <c r="T56" s="147" t="s">
        <v>45</v>
      </c>
      <c r="U56" s="148" t="s">
        <v>44</v>
      </c>
      <c r="V56" s="92"/>
      <c r="W56" s="92"/>
      <c r="X56" s="92"/>
      <c r="Y56" s="92"/>
      <c r="Z56" s="92"/>
    </row>
    <row r="57" spans="1:26" ht="15.75">
      <c r="B57" s="293" t="s">
        <v>3</v>
      </c>
      <c r="C57" s="294"/>
      <c r="D57" s="294"/>
      <c r="E57" s="294"/>
      <c r="F57" s="92"/>
      <c r="G57" s="92"/>
      <c r="H57" s="92"/>
      <c r="I57" s="92"/>
      <c r="J57" s="92"/>
      <c r="K57" s="151">
        <f t="shared" si="0"/>
        <v>51</v>
      </c>
      <c r="L57" s="149" t="str">
        <f t="shared" si="1"/>
        <v>23815 SVEUČILIŠTE U ZADRU</v>
      </c>
      <c r="M57" s="149">
        <v>23815</v>
      </c>
      <c r="N57" s="152" t="s">
        <v>316</v>
      </c>
      <c r="O57" s="153" t="s">
        <v>316</v>
      </c>
      <c r="P57" s="152" t="s">
        <v>1720</v>
      </c>
      <c r="Q57" s="152" t="s">
        <v>317</v>
      </c>
      <c r="R57" s="150">
        <v>1695525</v>
      </c>
      <c r="S57" s="146" t="s">
        <v>318</v>
      </c>
      <c r="T57" s="147" t="s">
        <v>45</v>
      </c>
      <c r="U57" s="148" t="s">
        <v>44</v>
      </c>
      <c r="V57" s="92"/>
      <c r="W57" s="92"/>
      <c r="X57" s="92"/>
      <c r="Y57" s="92"/>
      <c r="Z57" s="92"/>
    </row>
    <row r="58" spans="1:26" ht="15.75">
      <c r="B58" s="248"/>
      <c r="F58" s="92"/>
      <c r="G58" s="92"/>
      <c r="H58" s="92"/>
      <c r="I58" s="92"/>
      <c r="J58" s="92"/>
      <c r="K58" s="151">
        <f t="shared" si="0"/>
        <v>52</v>
      </c>
      <c r="L58" s="149" t="str">
        <f t="shared" si="1"/>
        <v>2436 SVEUČILIŠTE U ZAGREBU</v>
      </c>
      <c r="M58" s="149">
        <v>2436</v>
      </c>
      <c r="N58" s="152" t="s">
        <v>398</v>
      </c>
      <c r="O58" s="153" t="s">
        <v>398</v>
      </c>
      <c r="P58" s="152" t="s">
        <v>466</v>
      </c>
      <c r="Q58" s="152" t="s">
        <v>276</v>
      </c>
      <c r="R58" s="150">
        <v>3211592</v>
      </c>
      <c r="S58" s="146" t="s">
        <v>399</v>
      </c>
      <c r="T58" s="147" t="s">
        <v>45</v>
      </c>
      <c r="U58" s="148" t="s">
        <v>44</v>
      </c>
      <c r="V58" s="92"/>
      <c r="W58" s="92"/>
      <c r="X58" s="92"/>
      <c r="Y58" s="92"/>
      <c r="Z58" s="92"/>
    </row>
    <row r="59" spans="1:26" ht="15.75">
      <c r="B59" s="293" t="s">
        <v>5082</v>
      </c>
      <c r="C59" s="294"/>
      <c r="D59" s="294"/>
      <c r="E59" s="294"/>
      <c r="F59" s="92"/>
      <c r="G59" s="92"/>
      <c r="H59" s="92"/>
      <c r="I59" s="92"/>
      <c r="J59" s="92"/>
      <c r="K59" s="151">
        <f t="shared" si="0"/>
        <v>53</v>
      </c>
      <c r="L59" s="149" t="str">
        <f t="shared" si="1"/>
        <v>1923 SVEUČILIŠTE U ZAGREBU - AGRONOMSKI FAKULTET</v>
      </c>
      <c r="M59" s="149">
        <v>1923</v>
      </c>
      <c r="N59" s="152" t="s">
        <v>400</v>
      </c>
      <c r="O59" s="153" t="s">
        <v>398</v>
      </c>
      <c r="P59" s="152" t="s">
        <v>401</v>
      </c>
      <c r="Q59" s="152" t="s">
        <v>276</v>
      </c>
      <c r="R59" s="150">
        <v>3283097</v>
      </c>
      <c r="S59" s="146" t="s">
        <v>402</v>
      </c>
      <c r="T59" s="147" t="s">
        <v>45</v>
      </c>
      <c r="U59" s="148" t="s">
        <v>44</v>
      </c>
      <c r="V59" s="92"/>
      <c r="W59" s="92"/>
      <c r="X59" s="92"/>
      <c r="Y59" s="92"/>
      <c r="Z59" s="92"/>
    </row>
    <row r="60" spans="1:26" ht="15.75">
      <c r="A60" s="98"/>
      <c r="B60" s="98"/>
      <c r="C60" s="92"/>
      <c r="D60" s="92"/>
      <c r="E60" s="185" t="s">
        <v>5273</v>
      </c>
      <c r="F60" s="92"/>
      <c r="G60" s="92"/>
      <c r="H60" s="92"/>
      <c r="I60" s="92"/>
      <c r="J60" s="92"/>
      <c r="K60" s="151">
        <f t="shared" si="0"/>
        <v>54</v>
      </c>
      <c r="L60" s="149" t="str">
        <f t="shared" si="1"/>
        <v>1974 SVEUČILIŠTE U ZAGREBU - AKADEMIJA DRAMSKE UMJETNOSTI</v>
      </c>
      <c r="M60" s="149">
        <v>1974</v>
      </c>
      <c r="N60" s="152" t="s">
        <v>403</v>
      </c>
      <c r="O60" s="153" t="s">
        <v>398</v>
      </c>
      <c r="P60" s="152" t="s">
        <v>404</v>
      </c>
      <c r="Q60" s="152" t="s">
        <v>276</v>
      </c>
      <c r="R60" s="150">
        <v>3205029</v>
      </c>
      <c r="S60" s="146" t="s">
        <v>405</v>
      </c>
      <c r="T60" s="147" t="s">
        <v>45</v>
      </c>
      <c r="U60" s="148" t="s">
        <v>44</v>
      </c>
      <c r="V60" s="92"/>
      <c r="W60" s="92"/>
      <c r="X60" s="92"/>
      <c r="Y60" s="92"/>
      <c r="Z60" s="92"/>
    </row>
    <row r="61" spans="1:26" ht="15" customHeight="1">
      <c r="A61" s="99"/>
      <c r="B61" s="99"/>
      <c r="C61" s="99" t="s">
        <v>3023</v>
      </c>
      <c r="D61" s="99" t="s">
        <v>1779</v>
      </c>
      <c r="E61" s="99" t="s">
        <v>3024</v>
      </c>
      <c r="F61" s="92"/>
      <c r="G61" s="92"/>
      <c r="H61" s="92"/>
      <c r="I61" s="92"/>
      <c r="J61" s="92"/>
      <c r="K61" s="151">
        <f t="shared" si="0"/>
        <v>55</v>
      </c>
      <c r="L61" s="149" t="str">
        <f t="shared" si="1"/>
        <v>1982 SVEUČILIŠTE U ZAGREBU - AKADEMIJA LIKOVNIH UMJETNOSTI</v>
      </c>
      <c r="M61" s="149">
        <v>1982</v>
      </c>
      <c r="N61" s="152" t="s">
        <v>406</v>
      </c>
      <c r="O61" s="153" t="s">
        <v>398</v>
      </c>
      <c r="P61" s="152" t="s">
        <v>407</v>
      </c>
      <c r="Q61" s="152" t="s">
        <v>276</v>
      </c>
      <c r="R61" s="150">
        <v>3207919</v>
      </c>
      <c r="S61" s="146" t="s">
        <v>408</v>
      </c>
      <c r="T61" s="147" t="s">
        <v>45</v>
      </c>
      <c r="U61" s="148" t="s">
        <v>44</v>
      </c>
      <c r="V61" s="92"/>
      <c r="W61" s="92"/>
      <c r="X61" s="92"/>
      <c r="Y61" s="92"/>
      <c r="Z61" s="92"/>
    </row>
    <row r="62" spans="1:26" ht="15.75">
      <c r="A62" s="100"/>
      <c r="B62" s="100" t="s">
        <v>4</v>
      </c>
      <c r="C62" s="101">
        <f>SUM(C63:C64)</f>
        <v>127179564.70050001</v>
      </c>
      <c r="D62" s="101">
        <f>+D63+D64</f>
        <v>69387824.971500009</v>
      </c>
      <c r="E62" s="101">
        <f>+E63+E64</f>
        <v>69587135.100000009</v>
      </c>
      <c r="F62" s="92"/>
      <c r="G62" s="92"/>
      <c r="H62" s="92"/>
      <c r="I62" s="92"/>
      <c r="J62" s="92"/>
      <c r="K62" s="151">
        <f t="shared" si="0"/>
        <v>56</v>
      </c>
      <c r="L62" s="149" t="str">
        <f t="shared" si="1"/>
        <v xml:space="preserve">1861 SVEUČILIŠTE U ZAGREBU - ARHITEKTONSKI FAKULTET </v>
      </c>
      <c r="M62" s="149">
        <v>1861</v>
      </c>
      <c r="N62" s="152" t="s">
        <v>409</v>
      </c>
      <c r="O62" s="153" t="s">
        <v>398</v>
      </c>
      <c r="P62" s="152" t="s">
        <v>410</v>
      </c>
      <c r="Q62" s="152" t="s">
        <v>276</v>
      </c>
      <c r="R62" s="150">
        <v>3204952</v>
      </c>
      <c r="S62" s="146" t="s">
        <v>411</v>
      </c>
      <c r="T62" s="147" t="s">
        <v>45</v>
      </c>
      <c r="U62" s="148" t="s">
        <v>44</v>
      </c>
      <c r="V62" s="92"/>
      <c r="W62" s="92"/>
      <c r="X62" s="92"/>
      <c r="Y62" s="92"/>
      <c r="Z62" s="92"/>
    </row>
    <row r="63" spans="1:26" ht="15" customHeight="1">
      <c r="A63" s="103">
        <v>6</v>
      </c>
      <c r="B63" s="100" t="s">
        <v>5</v>
      </c>
      <c r="C63" s="104">
        <f>+C17*7.5345</f>
        <v>127179564.70050001</v>
      </c>
      <c r="D63" s="104">
        <f t="shared" ref="D63:E63" si="3">+D17*7.5345</f>
        <v>69387824.971500009</v>
      </c>
      <c r="E63" s="104">
        <f t="shared" si="3"/>
        <v>69587135.100000009</v>
      </c>
      <c r="F63" s="92"/>
      <c r="G63" s="92"/>
      <c r="H63" s="92"/>
      <c r="I63" s="92"/>
      <c r="J63" s="92"/>
      <c r="K63" s="151">
        <f t="shared" si="0"/>
        <v>57</v>
      </c>
      <c r="L63" s="149" t="str">
        <f t="shared" si="1"/>
        <v xml:space="preserve">1966 SVEUČILIŠTE U ZAGREBU - EDUKACIJSKO-REHABILITACIJSKI FAKULTET </v>
      </c>
      <c r="M63" s="149">
        <v>1966</v>
      </c>
      <c r="N63" s="152" t="s">
        <v>412</v>
      </c>
      <c r="O63" s="153" t="s">
        <v>398</v>
      </c>
      <c r="P63" s="152" t="s">
        <v>413</v>
      </c>
      <c r="Q63" s="152" t="s">
        <v>276</v>
      </c>
      <c r="R63" s="150">
        <v>3219780</v>
      </c>
      <c r="S63" s="146" t="s">
        <v>414</v>
      </c>
      <c r="T63" s="147" t="s">
        <v>45</v>
      </c>
      <c r="U63" s="148" t="s">
        <v>44</v>
      </c>
      <c r="V63" s="92"/>
      <c r="W63" s="92"/>
      <c r="X63" s="92"/>
      <c r="Y63" s="92"/>
      <c r="Z63" s="92"/>
    </row>
    <row r="64" spans="1:26" ht="15.75">
      <c r="A64" s="103">
        <v>7</v>
      </c>
      <c r="B64" s="105" t="s">
        <v>6</v>
      </c>
      <c r="C64" s="104">
        <f>+C18*7.5345</f>
        <v>0</v>
      </c>
      <c r="D64" s="104">
        <f t="shared" ref="D64:E67" si="4">+D18*7.5345</f>
        <v>0</v>
      </c>
      <c r="E64" s="104">
        <f t="shared" si="4"/>
        <v>0</v>
      </c>
      <c r="F64" s="92"/>
      <c r="G64" s="92"/>
      <c r="H64" s="92"/>
      <c r="I64" s="92"/>
      <c r="J64" s="92"/>
      <c r="K64" s="151">
        <f t="shared" si="0"/>
        <v>58</v>
      </c>
      <c r="L64" s="149" t="str">
        <f t="shared" si="1"/>
        <v>1931 SVEUČILIŠTE U ZAGREBU - EKONOMSKI FAKULTET</v>
      </c>
      <c r="M64" s="149">
        <v>1931</v>
      </c>
      <c r="N64" s="152" t="s">
        <v>415</v>
      </c>
      <c r="O64" s="153" t="s">
        <v>398</v>
      </c>
      <c r="P64" s="152" t="s">
        <v>1721</v>
      </c>
      <c r="Q64" s="152" t="s">
        <v>276</v>
      </c>
      <c r="R64" s="150">
        <v>3272079</v>
      </c>
      <c r="S64" s="146" t="s">
        <v>416</v>
      </c>
      <c r="T64" s="147" t="s">
        <v>45</v>
      </c>
      <c r="U64" s="148" t="s">
        <v>44</v>
      </c>
      <c r="V64" s="92"/>
      <c r="W64" s="92"/>
      <c r="X64" s="92"/>
      <c r="Y64" s="92"/>
      <c r="Z64" s="92"/>
    </row>
    <row r="65" spans="1:26" ht="15" customHeight="1">
      <c r="A65" s="107"/>
      <c r="B65" s="105" t="s">
        <v>7</v>
      </c>
      <c r="C65" s="108">
        <f>SUM(C66:C67)</f>
        <v>132112010.0565</v>
      </c>
      <c r="D65" s="108">
        <f>+D66+D67</f>
        <v>69387824.971499994</v>
      </c>
      <c r="E65" s="108">
        <f>+E66+E67</f>
        <v>69587135.100000009</v>
      </c>
      <c r="F65" s="92"/>
      <c r="G65" s="92"/>
      <c r="H65" s="92"/>
      <c r="I65" s="92"/>
      <c r="J65" s="92"/>
      <c r="K65" s="151">
        <f t="shared" si="0"/>
        <v>59</v>
      </c>
      <c r="L65" s="149" t="str">
        <f t="shared" si="1"/>
        <v>1757 SVEUČILIŠTE U ZAGREBU - FAKULTET ELEKTROTEHNIKE I RAČUNARSTVA</v>
      </c>
      <c r="M65" s="149">
        <v>1757</v>
      </c>
      <c r="N65" s="154" t="s">
        <v>417</v>
      </c>
      <c r="O65" s="153" t="s">
        <v>398</v>
      </c>
      <c r="P65" s="154" t="s">
        <v>418</v>
      </c>
      <c r="Q65" s="154" t="s">
        <v>276</v>
      </c>
      <c r="R65" s="155">
        <v>3276643</v>
      </c>
      <c r="S65" s="146" t="s">
        <v>419</v>
      </c>
      <c r="T65" s="147" t="s">
        <v>45</v>
      </c>
      <c r="U65" s="148" t="s">
        <v>44</v>
      </c>
      <c r="V65" s="92"/>
      <c r="W65" s="92"/>
      <c r="X65" s="92"/>
      <c r="Y65" s="92"/>
      <c r="Z65" s="92"/>
    </row>
    <row r="66" spans="1:26" ht="15.75">
      <c r="A66" s="107">
        <v>3</v>
      </c>
      <c r="B66" s="100" t="s">
        <v>8</v>
      </c>
      <c r="C66" s="104">
        <f>+C20*7.5345</f>
        <v>130967511.972</v>
      </c>
      <c r="D66" s="104">
        <f t="shared" si="4"/>
        <v>68294003.934</v>
      </c>
      <c r="E66" s="104">
        <f t="shared" si="4"/>
        <v>68463733.615500003</v>
      </c>
      <c r="F66" s="92"/>
      <c r="G66" s="92"/>
      <c r="H66" s="92"/>
      <c r="I66" s="92"/>
      <c r="J66" s="92"/>
      <c r="K66" s="151">
        <f t="shared" si="0"/>
        <v>60</v>
      </c>
      <c r="L66" s="149" t="str">
        <f t="shared" si="1"/>
        <v>6154 SVEUČILIŠTE U ZAGREBU - FAKULTET FILOZOFIJE I RELIGIJSKIH ZNANOSTI</v>
      </c>
      <c r="M66" s="149">
        <v>6154</v>
      </c>
      <c r="N66" s="152" t="s">
        <v>1722</v>
      </c>
      <c r="O66" s="153" t="s">
        <v>398</v>
      </c>
      <c r="P66" s="152" t="s">
        <v>420</v>
      </c>
      <c r="Q66" s="152" t="s">
        <v>276</v>
      </c>
      <c r="R66" s="150">
        <v>1235664</v>
      </c>
      <c r="S66" s="146" t="s">
        <v>421</v>
      </c>
      <c r="T66" s="147" t="s">
        <v>45</v>
      </c>
      <c r="U66" s="148" t="s">
        <v>44</v>
      </c>
      <c r="V66" s="92"/>
      <c r="W66" s="92"/>
      <c r="X66" s="92"/>
      <c r="Y66" s="92"/>
      <c r="Z66" s="92"/>
    </row>
    <row r="67" spans="1:26" ht="15.75">
      <c r="A67" s="103">
        <v>4</v>
      </c>
      <c r="B67" s="105" t="s">
        <v>9</v>
      </c>
      <c r="C67" s="104">
        <f>+C21*7.5345</f>
        <v>1144498.0845000001</v>
      </c>
      <c r="D67" s="104">
        <f t="shared" si="4"/>
        <v>1093821.0375000001</v>
      </c>
      <c r="E67" s="104">
        <f t="shared" si="4"/>
        <v>1123401.4845</v>
      </c>
      <c r="F67" s="92"/>
      <c r="G67" s="92"/>
      <c r="H67" s="92"/>
      <c r="I67" s="92"/>
      <c r="J67" s="92"/>
      <c r="K67" s="151">
        <f t="shared" si="0"/>
        <v>61</v>
      </c>
      <c r="L67" s="149" t="str">
        <f t="shared" si="1"/>
        <v>51191 SVEUČILIŠTE U ZAGREBU - FAKULTET HRVATSKIH STUDIJA</v>
      </c>
      <c r="M67" s="149">
        <v>51191</v>
      </c>
      <c r="N67" s="152" t="s">
        <v>1723</v>
      </c>
      <c r="O67" s="153" t="s">
        <v>398</v>
      </c>
      <c r="P67" s="152" t="s">
        <v>1724</v>
      </c>
      <c r="Q67" s="152" t="s">
        <v>276</v>
      </c>
      <c r="R67" s="150">
        <v>5214068</v>
      </c>
      <c r="S67" s="146" t="s">
        <v>1725</v>
      </c>
      <c r="T67" s="147" t="s">
        <v>45</v>
      </c>
      <c r="U67" s="148" t="s">
        <v>44</v>
      </c>
      <c r="V67" s="92"/>
      <c r="W67" s="92"/>
      <c r="X67" s="92"/>
      <c r="Y67" s="92"/>
      <c r="Z67" s="92"/>
    </row>
    <row r="68" spans="1:26" ht="15.75">
      <c r="A68" s="100"/>
      <c r="B68" s="100" t="s">
        <v>10</v>
      </c>
      <c r="C68" s="101">
        <f>+C62-C65</f>
        <v>-4932445.3559999913</v>
      </c>
      <c r="D68" s="101">
        <f>+D62-D65</f>
        <v>0</v>
      </c>
      <c r="E68" s="101">
        <f>+E62-E65</f>
        <v>0</v>
      </c>
      <c r="F68" s="92"/>
      <c r="G68" s="92"/>
      <c r="H68" s="92"/>
      <c r="I68" s="92"/>
      <c r="J68" s="92"/>
      <c r="K68" s="151">
        <f t="shared" si="0"/>
        <v>62</v>
      </c>
      <c r="L68" s="149" t="str">
        <f t="shared" si="1"/>
        <v>1790 SVEUČILIŠTE U ZAGREBU - FAKULTET KEMIJSKOG INŽENJERSTVA I TEHNOLOGIJE</v>
      </c>
      <c r="M68" s="149">
        <v>1790</v>
      </c>
      <c r="N68" s="152" t="s">
        <v>424</v>
      </c>
      <c r="O68" s="153" t="s">
        <v>398</v>
      </c>
      <c r="P68" s="152" t="s">
        <v>425</v>
      </c>
      <c r="Q68" s="152" t="s">
        <v>276</v>
      </c>
      <c r="R68" s="150">
        <v>3250270</v>
      </c>
      <c r="S68" s="146" t="s">
        <v>426</v>
      </c>
      <c r="T68" s="147" t="s">
        <v>45</v>
      </c>
      <c r="U68" s="148" t="s">
        <v>44</v>
      </c>
      <c r="V68" s="92"/>
      <c r="W68" s="92"/>
      <c r="X68" s="92"/>
      <c r="Y68" s="92"/>
      <c r="Z68" s="92"/>
    </row>
    <row r="69" spans="1:26" ht="15.75">
      <c r="B69" s="295"/>
      <c r="C69" s="294"/>
      <c r="D69" s="294"/>
      <c r="E69" s="294"/>
      <c r="F69" s="92"/>
      <c r="G69" s="92"/>
      <c r="H69" s="92"/>
      <c r="I69" s="92"/>
      <c r="J69" s="92"/>
      <c r="K69" s="151">
        <f t="shared" si="0"/>
        <v>63</v>
      </c>
      <c r="L69" s="149" t="str">
        <f t="shared" si="1"/>
        <v>1907 SVEUČILIŠTE U ZAGREBU - FAKULTET POLITIČKIH ZNANOSTI</v>
      </c>
      <c r="M69" s="149">
        <v>1907</v>
      </c>
      <c r="N69" s="152" t="s">
        <v>427</v>
      </c>
      <c r="O69" s="153" t="s">
        <v>398</v>
      </c>
      <c r="P69" s="152" t="s">
        <v>428</v>
      </c>
      <c r="Q69" s="152" t="s">
        <v>276</v>
      </c>
      <c r="R69" s="150">
        <v>3270262</v>
      </c>
      <c r="S69" s="146" t="s">
        <v>429</v>
      </c>
      <c r="T69" s="147" t="s">
        <v>45</v>
      </c>
      <c r="U69" s="148" t="s">
        <v>44</v>
      </c>
      <c r="V69" s="92"/>
      <c r="W69" s="92"/>
      <c r="X69" s="92"/>
      <c r="Y69" s="92"/>
      <c r="Z69" s="92"/>
    </row>
    <row r="70" spans="1:26" ht="15.75">
      <c r="B70" s="293" t="s">
        <v>5085</v>
      </c>
      <c r="C70" s="294"/>
      <c r="D70" s="294"/>
      <c r="E70" s="294"/>
      <c r="F70" s="92"/>
      <c r="G70" s="92"/>
      <c r="H70" s="92"/>
      <c r="I70" s="92"/>
      <c r="J70" s="92"/>
      <c r="K70" s="151">
        <f t="shared" si="0"/>
        <v>64</v>
      </c>
      <c r="L70" s="149" t="str">
        <f t="shared" si="1"/>
        <v>1812 SVEUČILIŠTE U ZAGREBU - FAKULTET PROMETNIH ZNANOSTI</v>
      </c>
      <c r="M70" s="149">
        <v>1812</v>
      </c>
      <c r="N70" s="152" t="s">
        <v>430</v>
      </c>
      <c r="O70" s="153" t="s">
        <v>398</v>
      </c>
      <c r="P70" s="152" t="s">
        <v>431</v>
      </c>
      <c r="Q70" s="152" t="s">
        <v>276</v>
      </c>
      <c r="R70" s="150">
        <v>3260771</v>
      </c>
      <c r="S70" s="146" t="s">
        <v>432</v>
      </c>
      <c r="T70" s="147" t="s">
        <v>45</v>
      </c>
      <c r="U70" s="148" t="s">
        <v>44</v>
      </c>
      <c r="V70" s="92"/>
      <c r="W70" s="92"/>
      <c r="X70" s="92"/>
      <c r="Y70" s="92"/>
      <c r="Z70" s="92"/>
    </row>
    <row r="71" spans="1:26" ht="15.75">
      <c r="A71" s="98"/>
      <c r="B71" s="98"/>
      <c r="C71" s="92"/>
      <c r="D71" s="92"/>
      <c r="E71" s="185" t="s">
        <v>5273</v>
      </c>
      <c r="F71" s="92"/>
      <c r="G71" s="92"/>
      <c r="H71" s="92"/>
      <c r="I71" s="92"/>
      <c r="J71" s="92"/>
      <c r="K71" s="151">
        <f t="shared" si="0"/>
        <v>65</v>
      </c>
      <c r="L71" s="149" t="str">
        <f t="shared" si="1"/>
        <v>1829 SVEUČILIŠTE U ZAGREBU - FAKULTET STROJARSTVA I BRODOGRADNJE</v>
      </c>
      <c r="M71" s="149">
        <v>1829</v>
      </c>
      <c r="N71" s="152" t="s">
        <v>433</v>
      </c>
      <c r="O71" s="153" t="s">
        <v>398</v>
      </c>
      <c r="P71" s="152" t="s">
        <v>434</v>
      </c>
      <c r="Q71" s="152" t="s">
        <v>276</v>
      </c>
      <c r="R71" s="150">
        <v>3276546</v>
      </c>
      <c r="S71" s="146" t="s">
        <v>435</v>
      </c>
      <c r="T71" s="147" t="s">
        <v>45</v>
      </c>
      <c r="U71" s="148" t="s">
        <v>44</v>
      </c>
      <c r="V71" s="92"/>
      <c r="W71" s="92"/>
      <c r="X71" s="92"/>
      <c r="Y71" s="92"/>
      <c r="Z71" s="92"/>
    </row>
    <row r="72" spans="1:26" ht="30">
      <c r="A72" s="99"/>
      <c r="B72" s="99"/>
      <c r="C72" s="99" t="s">
        <v>3023</v>
      </c>
      <c r="D72" s="99" t="s">
        <v>1779</v>
      </c>
      <c r="E72" s="99" t="s">
        <v>3024</v>
      </c>
      <c r="F72" s="92"/>
      <c r="G72" s="92"/>
      <c r="H72" s="92"/>
      <c r="I72" s="92"/>
      <c r="J72" s="92"/>
      <c r="K72" s="151">
        <f t="shared" ref="K72:K135" si="5">+K71+1</f>
        <v>66</v>
      </c>
      <c r="L72" s="149" t="str">
        <f t="shared" si="1"/>
        <v xml:space="preserve">2014 SVEUČILIŠTE U ZAGREBU - FARMACEUTSKO-BIOKEMIJSKI FAKULTET </v>
      </c>
      <c r="M72" s="149">
        <v>2014</v>
      </c>
      <c r="N72" s="152" t="s">
        <v>436</v>
      </c>
      <c r="O72" s="153" t="s">
        <v>398</v>
      </c>
      <c r="P72" s="152" t="s">
        <v>437</v>
      </c>
      <c r="Q72" s="152" t="s">
        <v>276</v>
      </c>
      <c r="R72" s="150">
        <v>3205037</v>
      </c>
      <c r="S72" s="146" t="s">
        <v>438</v>
      </c>
      <c r="T72" s="147" t="s">
        <v>45</v>
      </c>
      <c r="U72" s="148" t="s">
        <v>44</v>
      </c>
      <c r="V72" s="92"/>
      <c r="W72" s="92"/>
      <c r="X72" s="92"/>
      <c r="Y72" s="92"/>
      <c r="Z72" s="92"/>
    </row>
    <row r="73" spans="1:26" ht="30">
      <c r="A73" s="103">
        <v>8</v>
      </c>
      <c r="B73" s="100" t="s">
        <v>13</v>
      </c>
      <c r="C73" s="104">
        <f>+C27*7.5345</f>
        <v>0</v>
      </c>
      <c r="D73" s="104">
        <f t="shared" ref="D73:E73" si="6">+D27*7.5345</f>
        <v>0</v>
      </c>
      <c r="E73" s="104">
        <f t="shared" si="6"/>
        <v>0</v>
      </c>
      <c r="F73" s="92"/>
      <c r="G73" s="92"/>
      <c r="H73" s="92"/>
      <c r="I73" s="92"/>
      <c r="J73" s="92"/>
      <c r="K73" s="151">
        <f t="shared" si="5"/>
        <v>67</v>
      </c>
      <c r="L73" s="149" t="str">
        <f t="shared" ref="L73:L135" si="7">M73&amp;" "&amp;N73</f>
        <v>1958 SVEUČILIŠTE U ZAGREBU - FILOZOFSKI FAKULTET</v>
      </c>
      <c r="M73" s="149">
        <v>1958</v>
      </c>
      <c r="N73" s="152" t="s">
        <v>439</v>
      </c>
      <c r="O73" s="153" t="s">
        <v>398</v>
      </c>
      <c r="P73" s="152" t="s">
        <v>440</v>
      </c>
      <c r="Q73" s="152" t="s">
        <v>276</v>
      </c>
      <c r="R73" s="150">
        <v>3254852</v>
      </c>
      <c r="S73" s="146" t="s">
        <v>441</v>
      </c>
      <c r="T73" s="147" t="s">
        <v>45</v>
      </c>
      <c r="U73" s="148" t="s">
        <v>44</v>
      </c>
      <c r="V73" s="92"/>
      <c r="W73" s="92"/>
      <c r="X73" s="92"/>
      <c r="Y73" s="92"/>
      <c r="Z73" s="92"/>
    </row>
    <row r="74" spans="1:26" ht="30">
      <c r="A74" s="103">
        <v>5</v>
      </c>
      <c r="B74" s="100" t="s">
        <v>14</v>
      </c>
      <c r="C74" s="104">
        <f t="shared" ref="C74:E74" si="8">+C28*7.5345</f>
        <v>0</v>
      </c>
      <c r="D74" s="104">
        <f t="shared" si="8"/>
        <v>0</v>
      </c>
      <c r="E74" s="104">
        <f t="shared" si="8"/>
        <v>0</v>
      </c>
      <c r="F74" s="92"/>
      <c r="G74" s="92"/>
      <c r="H74" s="92"/>
      <c r="I74" s="92"/>
      <c r="J74" s="92"/>
      <c r="K74" s="151">
        <f t="shared" si="5"/>
        <v>68</v>
      </c>
      <c r="L74" s="149" t="str">
        <f t="shared" si="7"/>
        <v>1853 SVEUČILIŠTE U ZAGREBU - GEODETSKI FAKULTET</v>
      </c>
      <c r="M74" s="149">
        <v>1853</v>
      </c>
      <c r="N74" s="152" t="s">
        <v>442</v>
      </c>
      <c r="O74" s="153" t="s">
        <v>398</v>
      </c>
      <c r="P74" s="152" t="s">
        <v>1726</v>
      </c>
      <c r="Q74" s="152" t="s">
        <v>276</v>
      </c>
      <c r="R74" s="150">
        <v>3204987</v>
      </c>
      <c r="S74" s="146" t="s">
        <v>443</v>
      </c>
      <c r="T74" s="147" t="s">
        <v>45</v>
      </c>
      <c r="U74" s="148" t="s">
        <v>44</v>
      </c>
      <c r="V74" s="92"/>
      <c r="W74" s="92"/>
      <c r="X74" s="92"/>
      <c r="Y74" s="92"/>
      <c r="Z74" s="92"/>
    </row>
    <row r="75" spans="1:26" ht="30">
      <c r="A75" s="111" t="s">
        <v>11</v>
      </c>
      <c r="B75" s="247" t="s">
        <v>5083</v>
      </c>
      <c r="C75" s="104">
        <f t="shared" ref="C75:E75" si="9">+C29*7.5345</f>
        <v>4932445.3560000006</v>
      </c>
      <c r="D75" s="104">
        <f t="shared" si="9"/>
        <v>0</v>
      </c>
      <c r="E75" s="104">
        <f t="shared" si="9"/>
        <v>0</v>
      </c>
      <c r="F75" s="92"/>
      <c r="G75" s="92"/>
      <c r="H75" s="92"/>
      <c r="I75" s="92"/>
      <c r="J75" s="92"/>
      <c r="K75" s="151">
        <f t="shared" si="5"/>
        <v>69</v>
      </c>
      <c r="L75" s="149" t="str">
        <f t="shared" si="7"/>
        <v>2102 SVEUČILIŠTE U ZAGREBU - GEOTEHNIČKI FAKULTET</v>
      </c>
      <c r="M75" s="149">
        <v>2102</v>
      </c>
      <c r="N75" s="152" t="s">
        <v>444</v>
      </c>
      <c r="O75" s="153" t="s">
        <v>398</v>
      </c>
      <c r="P75" s="152" t="s">
        <v>445</v>
      </c>
      <c r="Q75" s="152" t="s">
        <v>446</v>
      </c>
      <c r="R75" s="150">
        <v>3042316</v>
      </c>
      <c r="S75" s="146" t="s">
        <v>447</v>
      </c>
      <c r="T75" s="147" t="s">
        <v>45</v>
      </c>
      <c r="U75" s="148" t="s">
        <v>44</v>
      </c>
      <c r="V75" s="92"/>
      <c r="W75" s="92"/>
      <c r="X75" s="92"/>
      <c r="Y75" s="92"/>
      <c r="Z75" s="92"/>
    </row>
    <row r="76" spans="1:26" ht="15" customHeight="1">
      <c r="A76" s="111" t="s">
        <v>12</v>
      </c>
      <c r="B76" s="247" t="s">
        <v>5084</v>
      </c>
      <c r="C76" s="104">
        <f t="shared" ref="C76:E76" si="10">+C30*7.5345</f>
        <v>0</v>
      </c>
      <c r="D76" s="104">
        <f t="shared" si="10"/>
        <v>0</v>
      </c>
      <c r="E76" s="104">
        <f t="shared" si="10"/>
        <v>0</v>
      </c>
      <c r="F76" s="92"/>
      <c r="G76" s="92"/>
      <c r="H76" s="92"/>
      <c r="I76" s="92"/>
      <c r="J76" s="92"/>
      <c r="K76" s="151">
        <f t="shared" si="5"/>
        <v>70</v>
      </c>
      <c r="L76" s="149" t="str">
        <f t="shared" si="7"/>
        <v>1837 SVEUČILIŠTE U ZAGREBU - GRAĐEVINSKI FAKULTET</v>
      </c>
      <c r="M76" s="149">
        <v>1837</v>
      </c>
      <c r="N76" s="152" t="s">
        <v>448</v>
      </c>
      <c r="O76" s="153" t="s">
        <v>398</v>
      </c>
      <c r="P76" s="152" t="s">
        <v>449</v>
      </c>
      <c r="Q76" s="152" t="s">
        <v>276</v>
      </c>
      <c r="R76" s="150">
        <v>3227120</v>
      </c>
      <c r="S76" s="146" t="s">
        <v>450</v>
      </c>
      <c r="T76" s="147" t="s">
        <v>45</v>
      </c>
      <c r="U76" s="148" t="s">
        <v>44</v>
      </c>
      <c r="V76" s="92"/>
      <c r="W76" s="92"/>
      <c r="X76" s="92"/>
      <c r="Y76" s="92"/>
      <c r="Z76" s="92"/>
    </row>
    <row r="77" spans="1:26" ht="15.75">
      <c r="A77" s="100"/>
      <c r="B77" s="100" t="s">
        <v>15</v>
      </c>
      <c r="C77" s="108">
        <f>+C73-C74+C75+C76</f>
        <v>4932445.3560000006</v>
      </c>
      <c r="D77" s="108">
        <f t="shared" ref="D77:E77" si="11">+D73-D74+D75+D76</f>
        <v>0</v>
      </c>
      <c r="E77" s="108">
        <f t="shared" si="11"/>
        <v>0</v>
      </c>
      <c r="F77" s="92"/>
      <c r="G77" s="92"/>
      <c r="H77" s="92"/>
      <c r="I77" s="92"/>
      <c r="J77" s="92"/>
      <c r="K77" s="151">
        <f t="shared" si="5"/>
        <v>71</v>
      </c>
      <c r="L77" s="149" t="str">
        <f t="shared" si="7"/>
        <v>2080 SVEUČILIŠTE U ZAGREBU - GRAFIČKI FAKULTET</v>
      </c>
      <c r="M77" s="149">
        <v>2080</v>
      </c>
      <c r="N77" s="152" t="s">
        <v>451</v>
      </c>
      <c r="O77" s="153" t="s">
        <v>398</v>
      </c>
      <c r="P77" s="152" t="s">
        <v>452</v>
      </c>
      <c r="Q77" s="152" t="s">
        <v>276</v>
      </c>
      <c r="R77" s="150">
        <v>3219763</v>
      </c>
      <c r="S77" s="146" t="s">
        <v>453</v>
      </c>
      <c r="T77" s="147" t="s">
        <v>45</v>
      </c>
      <c r="U77" s="148" t="s">
        <v>44</v>
      </c>
      <c r="V77" s="92"/>
      <c r="W77" s="92"/>
      <c r="X77" s="92"/>
      <c r="Y77" s="92"/>
      <c r="Z77" s="92"/>
    </row>
    <row r="78" spans="1:26" ht="15.75">
      <c r="B78" s="295"/>
      <c r="C78" s="294"/>
      <c r="D78" s="294"/>
      <c r="E78" s="294"/>
      <c r="F78" s="92"/>
      <c r="G78" s="92"/>
      <c r="H78" s="92"/>
      <c r="I78" s="92"/>
      <c r="J78" s="92"/>
      <c r="K78" s="151">
        <f t="shared" si="5"/>
        <v>72</v>
      </c>
      <c r="L78" s="149" t="str">
        <f t="shared" si="7"/>
        <v xml:space="preserve">2135 SVEUČILIŠTE U ZAGREBU - KATOLIČKI BOGOSLOVNI FAKULTET </v>
      </c>
      <c r="M78" s="149">
        <v>2135</v>
      </c>
      <c r="N78" s="152" t="s">
        <v>422</v>
      </c>
      <c r="O78" s="153" t="s">
        <v>398</v>
      </c>
      <c r="P78" s="152" t="s">
        <v>423</v>
      </c>
      <c r="Q78" s="152" t="s">
        <v>276</v>
      </c>
      <c r="R78" s="150">
        <v>3703088</v>
      </c>
      <c r="S78" s="146">
        <v>48987767944</v>
      </c>
      <c r="T78" s="147" t="s">
        <v>45</v>
      </c>
      <c r="U78" s="148" t="s">
        <v>44</v>
      </c>
      <c r="V78" s="92"/>
      <c r="W78" s="92"/>
      <c r="X78" s="92"/>
      <c r="Y78" s="92"/>
      <c r="Z78" s="92"/>
    </row>
    <row r="79" spans="1:26" ht="30">
      <c r="A79" s="117"/>
      <c r="B79" s="117" t="s">
        <v>5086</v>
      </c>
      <c r="C79" s="118">
        <f>+C68+C77</f>
        <v>9.3132257461547852E-9</v>
      </c>
      <c r="D79" s="118">
        <f t="shared" ref="D79:E79" si="12">+D68+D77</f>
        <v>0</v>
      </c>
      <c r="E79" s="118">
        <f t="shared" si="12"/>
        <v>0</v>
      </c>
      <c r="F79" s="92"/>
      <c r="G79" s="92"/>
      <c r="H79" s="92"/>
      <c r="I79" s="92"/>
      <c r="J79" s="92"/>
      <c r="K79" s="151">
        <f t="shared" si="5"/>
        <v>73</v>
      </c>
      <c r="L79" s="149" t="str">
        <f t="shared" si="7"/>
        <v>2006 SVEUČILIŠTE U ZAGREBU - KINEZIOLOŠKI FAKULTET</v>
      </c>
      <c r="M79" s="149">
        <v>2006</v>
      </c>
      <c r="N79" s="152" t="s">
        <v>454</v>
      </c>
      <c r="O79" s="153" t="s">
        <v>398</v>
      </c>
      <c r="P79" s="152" t="s">
        <v>455</v>
      </c>
      <c r="Q79" s="152" t="s">
        <v>276</v>
      </c>
      <c r="R79" s="150">
        <v>3274080</v>
      </c>
      <c r="S79" s="146" t="s">
        <v>456</v>
      </c>
      <c r="T79" s="147" t="s">
        <v>45</v>
      </c>
      <c r="U79" s="148" t="s">
        <v>44</v>
      </c>
      <c r="V79" s="92"/>
      <c r="W79" s="92"/>
      <c r="X79" s="92"/>
      <c r="Y79" s="92"/>
      <c r="Z79" s="92"/>
    </row>
    <row r="80" spans="1:26" ht="15.75">
      <c r="A80" s="92"/>
      <c r="B80" s="92"/>
      <c r="C80" s="92"/>
      <c r="D80" s="92"/>
      <c r="E80" s="92"/>
      <c r="F80" s="92"/>
      <c r="G80" s="92"/>
      <c r="H80" s="92"/>
      <c r="I80" s="92"/>
      <c r="J80" s="92"/>
      <c r="K80" s="151">
        <f t="shared" si="5"/>
        <v>74</v>
      </c>
      <c r="L80" s="149" t="str">
        <f t="shared" si="7"/>
        <v>1888 SVEUČILIŠTE U ZAGREBU - MEDICINSKI FAKULTET</v>
      </c>
      <c r="M80" s="149">
        <v>1888</v>
      </c>
      <c r="N80" s="152" t="s">
        <v>457</v>
      </c>
      <c r="O80" s="153" t="s">
        <v>398</v>
      </c>
      <c r="P80" s="152" t="s">
        <v>458</v>
      </c>
      <c r="Q80" s="152" t="s">
        <v>276</v>
      </c>
      <c r="R80" s="150">
        <v>3270211</v>
      </c>
      <c r="S80" s="146" t="s">
        <v>459</v>
      </c>
      <c r="T80" s="147" t="s">
        <v>45</v>
      </c>
      <c r="U80" s="148" t="s">
        <v>44</v>
      </c>
      <c r="V80" s="92"/>
      <c r="W80" s="92"/>
      <c r="X80" s="92"/>
      <c r="Y80" s="92"/>
      <c r="Z80" s="92"/>
    </row>
    <row r="81" spans="1:26" ht="15.75">
      <c r="A81" s="92"/>
      <c r="B81" s="92"/>
      <c r="C81" s="92"/>
      <c r="D81" s="92"/>
      <c r="E81" s="92"/>
      <c r="F81" s="92"/>
      <c r="G81" s="92"/>
      <c r="H81" s="92"/>
      <c r="I81" s="92"/>
      <c r="J81" s="92"/>
      <c r="K81" s="151">
        <f t="shared" si="5"/>
        <v>75</v>
      </c>
      <c r="L81" s="149" t="str">
        <f t="shared" si="7"/>
        <v>2071 SVEUČILIŠTE U ZAGREBU - METALURŠKI FAKULTET SISAK</v>
      </c>
      <c r="M81" s="149">
        <v>2071</v>
      </c>
      <c r="N81" s="152" t="s">
        <v>460</v>
      </c>
      <c r="O81" s="153" t="s">
        <v>398</v>
      </c>
      <c r="P81" s="152" t="s">
        <v>461</v>
      </c>
      <c r="Q81" s="152" t="s">
        <v>1727</v>
      </c>
      <c r="R81" s="150">
        <v>3313786</v>
      </c>
      <c r="S81" s="146" t="s">
        <v>462</v>
      </c>
      <c r="T81" s="147" t="s">
        <v>45</v>
      </c>
      <c r="U81" s="148" t="s">
        <v>44</v>
      </c>
      <c r="V81" s="92"/>
      <c r="W81" s="92"/>
      <c r="X81" s="92"/>
      <c r="Y81" s="92"/>
      <c r="Z81" s="92"/>
    </row>
    <row r="82" spans="1:26" ht="15.75">
      <c r="A82" s="92"/>
      <c r="B82" s="92"/>
      <c r="C82" s="92"/>
      <c r="D82" s="92"/>
      <c r="E82" s="92"/>
      <c r="F82" s="92"/>
      <c r="G82" s="92"/>
      <c r="H82" s="92"/>
      <c r="I82" s="92"/>
      <c r="J82" s="92"/>
      <c r="K82" s="151">
        <f t="shared" si="5"/>
        <v>76</v>
      </c>
      <c r="L82" s="149" t="str">
        <f t="shared" si="7"/>
        <v>1999 SVEUČILIŠTE U ZAGREBU - MUZIČKA AKADEMIJA</v>
      </c>
      <c r="M82" s="149">
        <v>1999</v>
      </c>
      <c r="N82" s="152" t="s">
        <v>463</v>
      </c>
      <c r="O82" s="153" t="s">
        <v>398</v>
      </c>
      <c r="P82" s="152" t="s">
        <v>1728</v>
      </c>
      <c r="Q82" s="152" t="s">
        <v>276</v>
      </c>
      <c r="R82" s="150">
        <v>3205002</v>
      </c>
      <c r="S82" s="146" t="s">
        <v>464</v>
      </c>
      <c r="T82" s="147" t="s">
        <v>45</v>
      </c>
      <c r="U82" s="148" t="s">
        <v>44</v>
      </c>
      <c r="V82" s="92"/>
      <c r="W82" s="92"/>
      <c r="X82" s="92"/>
      <c r="Y82" s="92"/>
      <c r="Z82" s="92"/>
    </row>
    <row r="83" spans="1:26" ht="15.75">
      <c r="A83" s="92"/>
      <c r="B83" s="92"/>
      <c r="C83" s="92"/>
      <c r="D83" s="92"/>
      <c r="E83" s="92"/>
      <c r="F83" s="92"/>
      <c r="G83" s="92"/>
      <c r="H83" s="92"/>
      <c r="I83" s="92"/>
      <c r="J83" s="92"/>
      <c r="K83" s="151">
        <f t="shared" si="5"/>
        <v>77</v>
      </c>
      <c r="L83" s="149" t="str">
        <f t="shared" si="7"/>
        <v>1915 SVEUČILIŠTE U ZAGREBU - PRAVNI FAKULTET</v>
      </c>
      <c r="M83" s="157">
        <v>1915</v>
      </c>
      <c r="N83" s="152" t="s">
        <v>465</v>
      </c>
      <c r="O83" s="153" t="s">
        <v>398</v>
      </c>
      <c r="P83" s="152" t="s">
        <v>466</v>
      </c>
      <c r="Q83" s="152" t="s">
        <v>276</v>
      </c>
      <c r="R83" s="150">
        <v>3225909</v>
      </c>
      <c r="S83" s="146" t="s">
        <v>467</v>
      </c>
      <c r="T83" s="147" t="s">
        <v>45</v>
      </c>
      <c r="U83" s="148" t="s">
        <v>44</v>
      </c>
      <c r="V83" s="92"/>
      <c r="W83" s="92"/>
      <c r="X83" s="92"/>
      <c r="Y83" s="92"/>
      <c r="Z83" s="92"/>
    </row>
    <row r="84" spans="1:26" ht="15.75">
      <c r="A84" s="92"/>
      <c r="B84" s="92"/>
      <c r="C84" s="92"/>
      <c r="D84" s="92"/>
      <c r="E84" s="92"/>
      <c r="F84" s="92"/>
      <c r="G84" s="92"/>
      <c r="H84" s="92"/>
      <c r="I84" s="92"/>
      <c r="J84" s="92"/>
      <c r="K84" s="151">
        <f t="shared" si="5"/>
        <v>78</v>
      </c>
      <c r="L84" s="149" t="str">
        <f t="shared" si="7"/>
        <v>1845 SVEUČILIŠTE U ZAGREBU - PREHRAMBENO BIOTEHNOLOŠKI FAKULTET</v>
      </c>
      <c r="M84" s="149">
        <v>1845</v>
      </c>
      <c r="N84" s="152" t="s">
        <v>468</v>
      </c>
      <c r="O84" s="153" t="s">
        <v>398</v>
      </c>
      <c r="P84" s="152" t="s">
        <v>474</v>
      </c>
      <c r="Q84" s="152" t="s">
        <v>276</v>
      </c>
      <c r="R84" s="150">
        <v>3207102</v>
      </c>
      <c r="S84" s="146" t="s">
        <v>469</v>
      </c>
      <c r="T84" s="147" t="s">
        <v>45</v>
      </c>
      <c r="U84" s="148" t="s">
        <v>44</v>
      </c>
      <c r="V84" s="92"/>
      <c r="W84" s="92"/>
      <c r="X84" s="92"/>
      <c r="Y84" s="92"/>
      <c r="Z84" s="92"/>
    </row>
    <row r="85" spans="1:26" ht="15.75">
      <c r="A85" s="92"/>
      <c r="B85" s="92"/>
      <c r="C85" s="92"/>
      <c r="D85" s="92"/>
      <c r="E85" s="92"/>
      <c r="F85" s="92"/>
      <c r="G85" s="92"/>
      <c r="H85" s="92"/>
      <c r="I85" s="92"/>
      <c r="J85" s="92"/>
      <c r="K85" s="151">
        <f t="shared" si="5"/>
        <v>79</v>
      </c>
      <c r="L85" s="149" t="str">
        <f t="shared" si="7"/>
        <v>1781 SVEUČILIŠTE U ZAGREBU - PRIRODOSLOVNO-MATEMATIČKI FAKULTET</v>
      </c>
      <c r="M85" s="149">
        <v>1781</v>
      </c>
      <c r="N85" s="152" t="s">
        <v>470</v>
      </c>
      <c r="O85" s="153" t="s">
        <v>398</v>
      </c>
      <c r="P85" s="152" t="s">
        <v>471</v>
      </c>
      <c r="Q85" s="152" t="s">
        <v>276</v>
      </c>
      <c r="R85" s="150">
        <v>3270149</v>
      </c>
      <c r="S85" s="146" t="s">
        <v>472</v>
      </c>
      <c r="T85" s="147" t="s">
        <v>45</v>
      </c>
      <c r="U85" s="148" t="s">
        <v>44</v>
      </c>
      <c r="V85" s="92"/>
      <c r="W85" s="92"/>
      <c r="X85" s="92"/>
      <c r="Y85" s="92"/>
      <c r="Z85" s="92"/>
    </row>
    <row r="86" spans="1:26" ht="15.75" hidden="1">
      <c r="A86" s="92"/>
      <c r="B86" s="92"/>
      <c r="C86" s="92"/>
      <c r="D86" s="92"/>
      <c r="E86" s="92"/>
      <c r="F86" s="92"/>
      <c r="G86" s="92"/>
      <c r="H86" s="92"/>
      <c r="I86" s="92"/>
      <c r="J86" s="92"/>
      <c r="K86" s="151">
        <f t="shared" si="5"/>
        <v>80</v>
      </c>
      <c r="L86" s="149" t="str">
        <f t="shared" si="7"/>
        <v>2047 SVEUČILIŠTE U ZAGREBU - RUDARSKO-GEOLOŠKO-NAFTNI FAKULTET</v>
      </c>
      <c r="M86" s="149">
        <v>2047</v>
      </c>
      <c r="N86" s="152" t="s">
        <v>473</v>
      </c>
      <c r="O86" s="153" t="s">
        <v>398</v>
      </c>
      <c r="P86" s="158" t="s">
        <v>474</v>
      </c>
      <c r="Q86" s="158" t="s">
        <v>276</v>
      </c>
      <c r="R86" s="150">
        <v>3207005</v>
      </c>
      <c r="S86" s="146" t="s">
        <v>475</v>
      </c>
      <c r="T86" s="147" t="s">
        <v>45</v>
      </c>
      <c r="U86" s="148" t="s">
        <v>44</v>
      </c>
      <c r="V86" s="92"/>
      <c r="W86" s="92"/>
      <c r="X86" s="92"/>
      <c r="Y86" s="92"/>
      <c r="Z86" s="92"/>
    </row>
    <row r="87" spans="1:26" ht="15.75" hidden="1">
      <c r="A87" s="92"/>
      <c r="B87" s="92"/>
      <c r="C87" s="92"/>
      <c r="D87" s="92"/>
      <c r="E87" s="92"/>
      <c r="F87" s="92"/>
      <c r="G87" s="92"/>
      <c r="H87" s="92"/>
      <c r="I87" s="92"/>
      <c r="J87" s="92"/>
      <c r="K87" s="151">
        <f t="shared" si="5"/>
        <v>81</v>
      </c>
      <c r="L87" s="149" t="str">
        <f t="shared" si="7"/>
        <v>1870 SVEUČILIŠTE U ZAGREBU - STOMATOLOŠKI FAKULTET</v>
      </c>
      <c r="M87" s="149">
        <v>1870</v>
      </c>
      <c r="N87" s="152" t="s">
        <v>476</v>
      </c>
      <c r="O87" s="153" t="s">
        <v>398</v>
      </c>
      <c r="P87" s="152" t="s">
        <v>477</v>
      </c>
      <c r="Q87" s="152" t="s">
        <v>276</v>
      </c>
      <c r="R87" s="150">
        <v>3204995</v>
      </c>
      <c r="S87" s="146" t="s">
        <v>478</v>
      </c>
      <c r="T87" s="147" t="s">
        <v>45</v>
      </c>
      <c r="U87" s="148" t="s">
        <v>44</v>
      </c>
      <c r="V87" s="92"/>
      <c r="W87" s="92"/>
      <c r="X87" s="92"/>
      <c r="Y87" s="92"/>
      <c r="Z87" s="92"/>
    </row>
    <row r="88" spans="1:26" ht="15.75" hidden="1">
      <c r="A88" s="92"/>
      <c r="B88" s="92"/>
      <c r="C88" s="92"/>
      <c r="D88" s="92"/>
      <c r="E88" s="92"/>
      <c r="F88" s="92"/>
      <c r="G88" s="92"/>
      <c r="H88" s="92"/>
      <c r="I88" s="92"/>
      <c r="J88" s="92"/>
      <c r="K88" s="151">
        <f t="shared" si="5"/>
        <v>82</v>
      </c>
      <c r="L88" s="149" t="str">
        <f t="shared" si="7"/>
        <v>1896 SVEUČILIŠTE U ZAGREBU - FAKULTET ŠUMARSTVA I DRVNE TEHNOLOGIJE</v>
      </c>
      <c r="M88" s="149">
        <v>1896</v>
      </c>
      <c r="N88" s="152" t="s">
        <v>1774</v>
      </c>
      <c r="O88" s="153" t="s">
        <v>398</v>
      </c>
      <c r="P88" s="152" t="s">
        <v>401</v>
      </c>
      <c r="Q88" s="152" t="s">
        <v>276</v>
      </c>
      <c r="R88" s="150">
        <v>3281485</v>
      </c>
      <c r="S88" s="146" t="s">
        <v>479</v>
      </c>
      <c r="T88" s="147" t="s">
        <v>45</v>
      </c>
      <c r="U88" s="148" t="s">
        <v>44</v>
      </c>
      <c r="V88" s="92"/>
      <c r="W88" s="92"/>
      <c r="X88" s="92"/>
      <c r="Y88" s="92"/>
      <c r="Z88" s="92"/>
    </row>
    <row r="89" spans="1:26" ht="15.75" hidden="1">
      <c r="A89" s="92"/>
      <c r="B89" s="92"/>
      <c r="C89" s="92"/>
      <c r="D89" s="92"/>
      <c r="E89" s="92"/>
      <c r="F89" s="92"/>
      <c r="G89" s="92"/>
      <c r="H89" s="92"/>
      <c r="I89" s="92"/>
      <c r="J89" s="92"/>
      <c r="K89" s="151">
        <f t="shared" si="5"/>
        <v>83</v>
      </c>
      <c r="L89" s="149" t="str">
        <f t="shared" si="7"/>
        <v>1804 SVEUČILIŠTE U ZAGREBU - TEKSTILNO TEHNOLOŠKI FAKULTET</v>
      </c>
      <c r="M89" s="149">
        <v>1804</v>
      </c>
      <c r="N89" s="152" t="s">
        <v>480</v>
      </c>
      <c r="O89" s="153" t="s">
        <v>398</v>
      </c>
      <c r="P89" s="152" t="s">
        <v>481</v>
      </c>
      <c r="Q89" s="152" t="s">
        <v>276</v>
      </c>
      <c r="R89" s="150">
        <v>3207064</v>
      </c>
      <c r="S89" s="146" t="s">
        <v>482</v>
      </c>
      <c r="T89" s="147" t="s">
        <v>45</v>
      </c>
      <c r="U89" s="148" t="s">
        <v>44</v>
      </c>
      <c r="V89" s="92"/>
      <c r="W89" s="92"/>
      <c r="X89" s="92"/>
      <c r="Y89" s="92"/>
      <c r="Z89" s="92"/>
    </row>
    <row r="90" spans="1:26" ht="15.75" hidden="1">
      <c r="A90" s="92"/>
      <c r="B90" s="92"/>
      <c r="C90" s="92"/>
      <c r="D90" s="92"/>
      <c r="E90" s="92"/>
      <c r="F90" s="92"/>
      <c r="G90" s="92"/>
      <c r="H90" s="92"/>
      <c r="I90" s="92"/>
      <c r="J90" s="92"/>
      <c r="K90" s="151">
        <f t="shared" si="5"/>
        <v>84</v>
      </c>
      <c r="L90" s="149" t="str">
        <f t="shared" si="7"/>
        <v>1940 SVEUČILIŠTE U ZAGREBU - UČITELJSKI FAKULTET</v>
      </c>
      <c r="M90" s="149">
        <v>1940</v>
      </c>
      <c r="N90" s="152" t="s">
        <v>483</v>
      </c>
      <c r="O90" s="153" t="s">
        <v>398</v>
      </c>
      <c r="P90" s="152" t="s">
        <v>484</v>
      </c>
      <c r="Q90" s="152" t="s">
        <v>276</v>
      </c>
      <c r="R90" s="150">
        <v>1422545</v>
      </c>
      <c r="S90" s="146" t="s">
        <v>485</v>
      </c>
      <c r="T90" s="147" t="s">
        <v>45</v>
      </c>
      <c r="U90" s="148" t="s">
        <v>44</v>
      </c>
      <c r="V90" s="92"/>
      <c r="W90" s="92"/>
      <c r="X90" s="92"/>
      <c r="Y90" s="92"/>
      <c r="Z90" s="92"/>
    </row>
    <row r="91" spans="1:26" ht="15.75" hidden="1">
      <c r="A91" s="92"/>
      <c r="B91" s="92"/>
      <c r="C91" s="92"/>
      <c r="D91" s="92"/>
      <c r="E91" s="92"/>
      <c r="F91" s="92"/>
      <c r="G91" s="92"/>
      <c r="H91" s="92"/>
      <c r="I91" s="92"/>
      <c r="J91" s="92"/>
      <c r="K91" s="151">
        <f t="shared" si="5"/>
        <v>85</v>
      </c>
      <c r="L91" s="149" t="str">
        <f t="shared" si="7"/>
        <v>2022 SVEUČILIŠTE U ZAGREBU - VETERINARSKI FAKULTET</v>
      </c>
      <c r="M91" s="149">
        <v>2022</v>
      </c>
      <c r="N91" s="152" t="s">
        <v>486</v>
      </c>
      <c r="O91" s="153" t="s">
        <v>398</v>
      </c>
      <c r="P91" s="152" t="s">
        <v>487</v>
      </c>
      <c r="Q91" s="152" t="s">
        <v>276</v>
      </c>
      <c r="R91" s="150">
        <v>3225755</v>
      </c>
      <c r="S91" s="146" t="s">
        <v>488</v>
      </c>
      <c r="T91" s="147" t="s">
        <v>45</v>
      </c>
      <c r="U91" s="148" t="s">
        <v>44</v>
      </c>
      <c r="V91" s="92"/>
      <c r="W91" s="92"/>
      <c r="X91" s="92"/>
      <c r="Y91" s="92"/>
      <c r="Z91" s="92"/>
    </row>
    <row r="92" spans="1:26" ht="15.75" hidden="1">
      <c r="A92" s="92"/>
      <c r="B92" s="92"/>
      <c r="C92" s="92"/>
      <c r="D92" s="92"/>
      <c r="E92" s="92"/>
      <c r="F92" s="92"/>
      <c r="G92" s="92"/>
      <c r="H92" s="92"/>
      <c r="I92" s="92"/>
      <c r="J92" s="92"/>
      <c r="K92" s="151">
        <f t="shared" si="5"/>
        <v>86</v>
      </c>
      <c r="L92" s="149" t="str">
        <f t="shared" si="7"/>
        <v>22427 TEHNIČKO VELEUČILIŠTE U ZAGREBU</v>
      </c>
      <c r="M92" s="149">
        <v>22427</v>
      </c>
      <c r="N92" s="152" t="s">
        <v>497</v>
      </c>
      <c r="O92" s="153" t="s">
        <v>493</v>
      </c>
      <c r="P92" s="152" t="s">
        <v>498</v>
      </c>
      <c r="Q92" s="152" t="s">
        <v>276</v>
      </c>
      <c r="R92" s="150">
        <v>1398270</v>
      </c>
      <c r="S92" s="146" t="s">
        <v>499</v>
      </c>
      <c r="T92" s="147" t="s">
        <v>45</v>
      </c>
      <c r="U92" s="148" t="s">
        <v>44</v>
      </c>
      <c r="V92" s="92"/>
      <c r="W92" s="92"/>
      <c r="X92" s="92"/>
      <c r="Y92" s="92"/>
      <c r="Z92" s="92"/>
    </row>
    <row r="93" spans="1:26" ht="15.75" hidden="1">
      <c r="A93" s="92"/>
      <c r="B93" s="92"/>
      <c r="C93" s="92"/>
      <c r="D93" s="92"/>
      <c r="E93" s="92"/>
      <c r="F93" s="92"/>
      <c r="G93" s="92"/>
      <c r="H93" s="92"/>
      <c r="I93" s="92"/>
      <c r="J93" s="92"/>
      <c r="K93" s="151">
        <f t="shared" si="5"/>
        <v>87</v>
      </c>
      <c r="L93" s="149" t="str">
        <f t="shared" si="7"/>
        <v>50848 VELEUČILIŠTE HRVATSKO ZAGORJE KRAPINA</v>
      </c>
      <c r="M93" s="149">
        <v>50848</v>
      </c>
      <c r="N93" s="152" t="s">
        <v>1729</v>
      </c>
      <c r="O93" s="153" t="s">
        <v>493</v>
      </c>
      <c r="P93" s="152" t="s">
        <v>1730</v>
      </c>
      <c r="Q93" s="152" t="s">
        <v>1731</v>
      </c>
      <c r="R93" s="150">
        <v>2271354</v>
      </c>
      <c r="S93" s="146" t="s">
        <v>1732</v>
      </c>
      <c r="T93" s="147" t="s">
        <v>45</v>
      </c>
      <c r="U93" s="148" t="s">
        <v>44</v>
      </c>
      <c r="V93" s="92"/>
      <c r="W93" s="92"/>
      <c r="X93" s="92"/>
      <c r="Y93" s="92"/>
      <c r="Z93" s="92"/>
    </row>
    <row r="94" spans="1:26" ht="15.75" hidden="1">
      <c r="A94" s="92"/>
      <c r="B94" s="92"/>
      <c r="C94" s="92"/>
      <c r="D94" s="92"/>
      <c r="E94" s="92"/>
      <c r="F94" s="92"/>
      <c r="G94" s="92"/>
      <c r="H94" s="92"/>
      <c r="I94" s="92"/>
      <c r="J94" s="92"/>
      <c r="K94" s="151">
        <f t="shared" si="5"/>
        <v>88</v>
      </c>
      <c r="L94" s="149" t="str">
        <f t="shared" si="7"/>
        <v>38446 VELEUČILIŠTE LAVOSLAV RUŽIČKA U VUKOVARU</v>
      </c>
      <c r="M94" s="149">
        <v>38446</v>
      </c>
      <c r="N94" s="152" t="s">
        <v>500</v>
      </c>
      <c r="O94" s="153" t="s">
        <v>493</v>
      </c>
      <c r="P94" s="152" t="s">
        <v>501</v>
      </c>
      <c r="Q94" s="152" t="s">
        <v>502</v>
      </c>
      <c r="R94" s="150">
        <v>1970828</v>
      </c>
      <c r="S94" s="146" t="s">
        <v>503</v>
      </c>
      <c r="T94" s="147" t="s">
        <v>45</v>
      </c>
      <c r="U94" s="148" t="s">
        <v>44</v>
      </c>
      <c r="V94" s="92"/>
      <c r="W94" s="92"/>
      <c r="X94" s="92"/>
      <c r="Y94" s="92"/>
      <c r="Z94" s="92"/>
    </row>
    <row r="95" spans="1:26" ht="15.75" hidden="1">
      <c r="A95" s="92"/>
      <c r="B95" s="92"/>
      <c r="C95" s="92"/>
      <c r="D95" s="92"/>
      <c r="E95" s="92"/>
      <c r="F95" s="92"/>
      <c r="G95" s="92"/>
      <c r="H95" s="92"/>
      <c r="I95" s="92"/>
      <c r="J95" s="92"/>
      <c r="K95" s="151">
        <f t="shared" si="5"/>
        <v>89</v>
      </c>
      <c r="L95" s="149" t="str">
        <f t="shared" si="7"/>
        <v>38438 VELEUČILIŠTE MARKO MARULIĆ U KNINU</v>
      </c>
      <c r="M95" s="149">
        <v>38438</v>
      </c>
      <c r="N95" s="152" t="s">
        <v>504</v>
      </c>
      <c r="O95" s="153" t="s">
        <v>493</v>
      </c>
      <c r="P95" s="152" t="s">
        <v>505</v>
      </c>
      <c r="Q95" s="152" t="s">
        <v>506</v>
      </c>
      <c r="R95" s="150">
        <v>1963813</v>
      </c>
      <c r="S95" s="146" t="s">
        <v>507</v>
      </c>
      <c r="T95" s="147" t="s">
        <v>45</v>
      </c>
      <c r="U95" s="148" t="s">
        <v>44</v>
      </c>
      <c r="V95" s="92"/>
      <c r="W95" s="92"/>
      <c r="X95" s="92"/>
      <c r="Y95" s="92"/>
      <c r="Z95" s="92"/>
    </row>
    <row r="96" spans="1:26" ht="15.75" hidden="1">
      <c r="A96" s="92"/>
      <c r="B96" s="92"/>
      <c r="C96" s="92"/>
      <c r="D96" s="92"/>
      <c r="E96" s="92"/>
      <c r="F96" s="92"/>
      <c r="G96" s="92"/>
      <c r="H96" s="92"/>
      <c r="I96" s="92"/>
      <c r="J96" s="92"/>
      <c r="K96" s="151">
        <f t="shared" si="5"/>
        <v>90</v>
      </c>
      <c r="L96" s="149" t="str">
        <f t="shared" si="7"/>
        <v>41185 VELEUČILIŠTE NIKOLA TESLA U GOSPIĆU</v>
      </c>
      <c r="M96" s="149">
        <v>41185</v>
      </c>
      <c r="N96" s="152" t="s">
        <v>508</v>
      </c>
      <c r="O96" s="153" t="s">
        <v>493</v>
      </c>
      <c r="P96" s="152" t="s">
        <v>509</v>
      </c>
      <c r="Q96" s="152" t="s">
        <v>510</v>
      </c>
      <c r="R96" s="156">
        <v>2103133</v>
      </c>
      <c r="S96" s="146" t="s">
        <v>511</v>
      </c>
      <c r="T96" s="147" t="s">
        <v>45</v>
      </c>
      <c r="U96" s="148" t="s">
        <v>44</v>
      </c>
      <c r="V96" s="92"/>
      <c r="W96" s="92"/>
      <c r="X96" s="92"/>
      <c r="Y96" s="92"/>
      <c r="Z96" s="92"/>
    </row>
    <row r="97" spans="1:26" ht="15.75" hidden="1">
      <c r="A97" s="92"/>
      <c r="B97" s="92"/>
      <c r="C97" s="92"/>
      <c r="D97" s="92"/>
      <c r="E97" s="92"/>
      <c r="F97" s="92"/>
      <c r="G97" s="92"/>
      <c r="H97" s="92"/>
      <c r="I97" s="92"/>
      <c r="J97" s="92"/>
      <c r="K97" s="151">
        <f t="shared" si="5"/>
        <v>91</v>
      </c>
      <c r="L97" s="149" t="str">
        <f t="shared" si="7"/>
        <v>21053 VELEUČILIŠTE U KARLOVCU</v>
      </c>
      <c r="M97" s="149">
        <v>21053</v>
      </c>
      <c r="N97" s="152" t="s">
        <v>512</v>
      </c>
      <c r="O97" s="153" t="s">
        <v>493</v>
      </c>
      <c r="P97" s="152" t="s">
        <v>513</v>
      </c>
      <c r="Q97" s="152" t="s">
        <v>514</v>
      </c>
      <c r="R97" s="150">
        <v>1286030</v>
      </c>
      <c r="S97" s="146" t="s">
        <v>515</v>
      </c>
      <c r="T97" s="147" t="s">
        <v>45</v>
      </c>
      <c r="U97" s="148" t="s">
        <v>44</v>
      </c>
      <c r="V97" s="92"/>
      <c r="W97" s="92"/>
      <c r="X97" s="92"/>
      <c r="Y97" s="92"/>
      <c r="Z97" s="92"/>
    </row>
    <row r="98" spans="1:26" ht="15.75" hidden="1">
      <c r="A98" s="92"/>
      <c r="B98" s="92"/>
      <c r="C98" s="92"/>
      <c r="D98" s="92"/>
      <c r="E98" s="92"/>
      <c r="F98" s="92"/>
      <c r="G98" s="92"/>
      <c r="H98" s="92"/>
      <c r="I98" s="92"/>
      <c r="J98" s="92"/>
      <c r="K98" s="151">
        <f t="shared" si="5"/>
        <v>92</v>
      </c>
      <c r="L98" s="149" t="str">
        <f t="shared" si="7"/>
        <v>22494 VELEUČILIŠTE U RIJECI</v>
      </c>
      <c r="M98" s="149">
        <v>22494</v>
      </c>
      <c r="N98" s="152" t="s">
        <v>520</v>
      </c>
      <c r="O98" s="153" t="s">
        <v>493</v>
      </c>
      <c r="P98" s="152" t="s">
        <v>521</v>
      </c>
      <c r="Q98" s="152" t="s">
        <v>321</v>
      </c>
      <c r="R98" s="150">
        <v>1387332</v>
      </c>
      <c r="S98" s="146" t="s">
        <v>522</v>
      </c>
      <c r="T98" s="147" t="s">
        <v>45</v>
      </c>
      <c r="U98" s="148" t="s">
        <v>44</v>
      </c>
      <c r="V98" s="92"/>
      <c r="W98" s="92"/>
      <c r="X98" s="92"/>
      <c r="Y98" s="92"/>
      <c r="Z98" s="92"/>
    </row>
    <row r="99" spans="1:26" ht="15.75" hidden="1">
      <c r="A99" s="92"/>
      <c r="B99" s="92"/>
      <c r="C99" s="92"/>
      <c r="D99" s="92"/>
      <c r="E99" s="92"/>
      <c r="F99" s="92"/>
      <c r="G99" s="92"/>
      <c r="H99" s="92"/>
      <c r="I99" s="92"/>
      <c r="J99" s="92"/>
      <c r="K99" s="151">
        <f t="shared" si="5"/>
        <v>93</v>
      </c>
      <c r="L99" s="149" t="str">
        <f t="shared" si="7"/>
        <v>22824 VELEUČILIŠTE U ŠIBENIKU</v>
      </c>
      <c r="M99" s="149">
        <v>22824</v>
      </c>
      <c r="N99" s="152" t="s">
        <v>523</v>
      </c>
      <c r="O99" s="153" t="s">
        <v>493</v>
      </c>
      <c r="P99" s="152" t="s">
        <v>524</v>
      </c>
      <c r="Q99" s="152" t="s">
        <v>525</v>
      </c>
      <c r="R99" s="150">
        <v>2100673</v>
      </c>
      <c r="S99" s="146" t="s">
        <v>526</v>
      </c>
      <c r="T99" s="147" t="s">
        <v>45</v>
      </c>
      <c r="U99" s="148" t="s">
        <v>44</v>
      </c>
      <c r="V99" s="92"/>
      <c r="W99" s="92"/>
      <c r="X99" s="92"/>
      <c r="Y99" s="92"/>
      <c r="Z99" s="92"/>
    </row>
    <row r="100" spans="1:26" ht="15.75" hidden="1">
      <c r="A100" s="92"/>
      <c r="B100" s="92"/>
      <c r="C100" s="92"/>
      <c r="D100" s="92"/>
      <c r="E100" s="92"/>
      <c r="F100" s="92"/>
      <c r="G100" s="92"/>
      <c r="H100" s="92"/>
      <c r="I100" s="92"/>
      <c r="J100" s="92"/>
      <c r="K100" s="151">
        <f t="shared" si="5"/>
        <v>94</v>
      </c>
      <c r="L100" s="149" t="str">
        <f t="shared" si="7"/>
        <v>42993 VELEUČILIŠTE U VIROVITICI</v>
      </c>
      <c r="M100" s="149">
        <v>42993</v>
      </c>
      <c r="N100" s="152" t="s">
        <v>1775</v>
      </c>
      <c r="O100" s="153" t="s">
        <v>493</v>
      </c>
      <c r="P100" s="152" t="s">
        <v>527</v>
      </c>
      <c r="Q100" s="152" t="s">
        <v>528</v>
      </c>
      <c r="R100" s="150">
        <v>2282208</v>
      </c>
      <c r="S100" s="146" t="s">
        <v>529</v>
      </c>
      <c r="T100" s="147" t="s">
        <v>45</v>
      </c>
      <c r="U100" s="148" t="s">
        <v>44</v>
      </c>
      <c r="V100" s="92"/>
      <c r="W100" s="92"/>
      <c r="X100" s="92"/>
      <c r="Y100" s="92"/>
      <c r="Z100" s="92"/>
    </row>
    <row r="101" spans="1:26" ht="15.75" hidden="1">
      <c r="A101" s="92"/>
      <c r="B101" s="92"/>
      <c r="C101" s="92"/>
      <c r="D101" s="92"/>
      <c r="E101" s="92"/>
      <c r="F101" s="92"/>
      <c r="G101" s="92"/>
      <c r="H101" s="92"/>
      <c r="I101" s="92"/>
      <c r="J101" s="92"/>
      <c r="K101" s="151">
        <f t="shared" si="5"/>
        <v>95</v>
      </c>
      <c r="L101" s="149" t="str">
        <f t="shared" si="7"/>
        <v>22371 VISOKO GOSPODARSKO UČILIŠTE U KRIŽEVCIMA</v>
      </c>
      <c r="M101" s="149">
        <v>22371</v>
      </c>
      <c r="N101" s="152" t="s">
        <v>530</v>
      </c>
      <c r="O101" s="153" t="s">
        <v>493</v>
      </c>
      <c r="P101" s="152" t="s">
        <v>531</v>
      </c>
      <c r="Q101" s="152" t="s">
        <v>532</v>
      </c>
      <c r="R101" s="150">
        <v>1411942</v>
      </c>
      <c r="S101" s="146" t="s">
        <v>533</v>
      </c>
      <c r="T101" s="147" t="s">
        <v>45</v>
      </c>
      <c r="U101" s="148" t="s">
        <v>44</v>
      </c>
      <c r="V101" s="92"/>
      <c r="W101" s="92"/>
      <c r="X101" s="92"/>
      <c r="Y101" s="92"/>
      <c r="Z101" s="92"/>
    </row>
    <row r="102" spans="1:26" ht="15.75" hidden="1">
      <c r="A102" s="92"/>
      <c r="B102" s="92"/>
      <c r="C102" s="92"/>
      <c r="D102" s="92"/>
      <c r="E102" s="92"/>
      <c r="F102" s="92"/>
      <c r="G102" s="92"/>
      <c r="H102" s="92"/>
      <c r="I102" s="92"/>
      <c r="J102" s="92"/>
      <c r="K102" s="151">
        <f t="shared" si="5"/>
        <v>96</v>
      </c>
      <c r="L102" s="149" t="str">
        <f t="shared" si="7"/>
        <v>22832 ZDRAVSTVENO VELEUČILIŠTE</v>
      </c>
      <c r="M102" s="149">
        <v>22832</v>
      </c>
      <c r="N102" s="152" t="s">
        <v>534</v>
      </c>
      <c r="O102" s="153" t="s">
        <v>493</v>
      </c>
      <c r="P102" s="152" t="s">
        <v>535</v>
      </c>
      <c r="Q102" s="152" t="s">
        <v>276</v>
      </c>
      <c r="R102" s="150">
        <v>1274597</v>
      </c>
      <c r="S102" s="146" t="s">
        <v>536</v>
      </c>
      <c r="T102" s="147" t="s">
        <v>45</v>
      </c>
      <c r="U102" s="148" t="s">
        <v>44</v>
      </c>
      <c r="V102" s="92"/>
      <c r="W102" s="92"/>
      <c r="X102" s="92"/>
      <c r="Y102" s="92"/>
      <c r="Z102" s="92"/>
    </row>
    <row r="103" spans="1:26" ht="15.75" hidden="1">
      <c r="A103" s="92"/>
      <c r="B103" s="92"/>
      <c r="C103" s="92"/>
      <c r="D103" s="92"/>
      <c r="E103" s="92"/>
      <c r="F103" s="92"/>
      <c r="G103" s="92"/>
      <c r="H103" s="92"/>
      <c r="I103" s="92"/>
      <c r="J103" s="92"/>
      <c r="K103" s="151">
        <f t="shared" si="5"/>
        <v>97</v>
      </c>
      <c r="L103" s="149" t="str">
        <f t="shared" si="7"/>
        <v>2918 EKONOMSKI INSTITUT ZAGREB</v>
      </c>
      <c r="M103" s="149">
        <v>2918</v>
      </c>
      <c r="N103" s="152" t="s">
        <v>538</v>
      </c>
      <c r="O103" s="153" t="s">
        <v>493</v>
      </c>
      <c r="P103" s="152" t="s">
        <v>539</v>
      </c>
      <c r="Q103" s="152" t="s">
        <v>276</v>
      </c>
      <c r="R103" s="150">
        <v>3219925</v>
      </c>
      <c r="S103" s="146" t="s">
        <v>540</v>
      </c>
      <c r="T103" s="147" t="s">
        <v>655</v>
      </c>
      <c r="U103" s="148" t="s">
        <v>537</v>
      </c>
      <c r="V103" s="92"/>
      <c r="W103" s="92"/>
      <c r="X103" s="92"/>
      <c r="Y103" s="92"/>
      <c r="Z103" s="92"/>
    </row>
    <row r="104" spans="1:26" ht="15.75" hidden="1">
      <c r="A104" s="92"/>
      <c r="B104" s="92"/>
      <c r="C104" s="92"/>
      <c r="D104" s="92"/>
      <c r="E104" s="92"/>
      <c r="F104" s="92"/>
      <c r="G104" s="92"/>
      <c r="H104" s="92"/>
      <c r="I104" s="92"/>
      <c r="J104" s="92"/>
      <c r="K104" s="151">
        <f t="shared" si="5"/>
        <v>98</v>
      </c>
      <c r="L104" s="149" t="str">
        <f t="shared" si="7"/>
        <v xml:space="preserve">22525 HRVATSKI GEOLOŠKI INSTITUT </v>
      </c>
      <c r="M104" s="149">
        <v>22525</v>
      </c>
      <c r="N104" s="152" t="s">
        <v>568</v>
      </c>
      <c r="O104" s="153" t="s">
        <v>493</v>
      </c>
      <c r="P104" s="152" t="s">
        <v>569</v>
      </c>
      <c r="Q104" s="152" t="s">
        <v>276</v>
      </c>
      <c r="R104" s="150">
        <v>3219518</v>
      </c>
      <c r="S104" s="146" t="s">
        <v>570</v>
      </c>
      <c r="T104" s="147" t="s">
        <v>655</v>
      </c>
      <c r="U104" s="148" t="s">
        <v>537</v>
      </c>
      <c r="V104" s="92"/>
      <c r="W104" s="92"/>
      <c r="X104" s="92"/>
      <c r="Y104" s="92"/>
      <c r="Z104" s="92"/>
    </row>
    <row r="105" spans="1:26" ht="15.75" hidden="1">
      <c r="A105" s="92"/>
      <c r="B105" s="92"/>
      <c r="C105" s="92"/>
      <c r="D105" s="92"/>
      <c r="E105" s="92"/>
      <c r="F105" s="92"/>
      <c r="G105" s="92"/>
      <c r="H105" s="92"/>
      <c r="I105" s="92"/>
      <c r="J105" s="92"/>
      <c r="K105" s="151">
        <f t="shared" si="5"/>
        <v>99</v>
      </c>
      <c r="L105" s="149" t="str">
        <f t="shared" si="7"/>
        <v>2934 HRVATSKI INSTITUT ZA POVIJEST</v>
      </c>
      <c r="M105" s="149">
        <v>2934</v>
      </c>
      <c r="N105" s="152" t="s">
        <v>541</v>
      </c>
      <c r="O105" s="153" t="s">
        <v>493</v>
      </c>
      <c r="P105" s="152" t="s">
        <v>542</v>
      </c>
      <c r="Q105" s="152" t="s">
        <v>276</v>
      </c>
      <c r="R105" s="150">
        <v>3207153</v>
      </c>
      <c r="S105" s="146" t="s">
        <v>543</v>
      </c>
      <c r="T105" s="147" t="s">
        <v>655</v>
      </c>
      <c r="U105" s="148" t="s">
        <v>537</v>
      </c>
      <c r="V105" s="92"/>
      <c r="W105" s="92"/>
      <c r="X105" s="92"/>
      <c r="Y105" s="92"/>
      <c r="Z105" s="92"/>
    </row>
    <row r="106" spans="1:26" ht="15.75" hidden="1">
      <c r="A106" s="92"/>
      <c r="B106" s="92"/>
      <c r="C106" s="92"/>
      <c r="D106" s="92"/>
      <c r="E106" s="92"/>
      <c r="F106" s="92"/>
      <c r="G106" s="92"/>
      <c r="H106" s="92"/>
      <c r="I106" s="92"/>
      <c r="J106" s="92"/>
      <c r="K106" s="151">
        <f t="shared" si="5"/>
        <v>100</v>
      </c>
      <c r="L106" s="149" t="str">
        <f t="shared" si="7"/>
        <v>2967 HRVATSKI ŠUMARSKI INSTITUT</v>
      </c>
      <c r="M106" s="149">
        <v>2967</v>
      </c>
      <c r="N106" s="152" t="s">
        <v>603</v>
      </c>
      <c r="O106" s="153" t="s">
        <v>493</v>
      </c>
      <c r="P106" s="152" t="s">
        <v>604</v>
      </c>
      <c r="Q106" s="152" t="s">
        <v>605</v>
      </c>
      <c r="R106" s="150">
        <v>3115879</v>
      </c>
      <c r="S106" s="146" t="s">
        <v>606</v>
      </c>
      <c r="T106" s="147" t="s">
        <v>655</v>
      </c>
      <c r="U106" s="148" t="s">
        <v>537</v>
      </c>
      <c r="V106" s="92"/>
      <c r="W106" s="92"/>
      <c r="X106" s="92"/>
      <c r="Y106" s="92"/>
      <c r="Z106" s="92"/>
    </row>
    <row r="107" spans="1:26" ht="15.75" hidden="1">
      <c r="A107" s="92"/>
      <c r="B107" s="92"/>
      <c r="C107" s="92"/>
      <c r="D107" s="92"/>
      <c r="E107" s="92"/>
      <c r="F107" s="92"/>
      <c r="G107" s="92"/>
      <c r="H107" s="92"/>
      <c r="I107" s="92"/>
      <c r="J107" s="92"/>
      <c r="K107" s="151">
        <f t="shared" si="5"/>
        <v>101</v>
      </c>
      <c r="L107" s="149" t="str">
        <f t="shared" si="7"/>
        <v>2983 HRVATSKI VETERINARSKI INSTITUT</v>
      </c>
      <c r="M107" s="149">
        <v>2983</v>
      </c>
      <c r="N107" s="152" t="s">
        <v>544</v>
      </c>
      <c r="O107" s="153" t="s">
        <v>493</v>
      </c>
      <c r="P107" s="152" t="s">
        <v>545</v>
      </c>
      <c r="Q107" s="152" t="s">
        <v>276</v>
      </c>
      <c r="R107" s="150">
        <v>3274098</v>
      </c>
      <c r="S107" s="146" t="s">
        <v>546</v>
      </c>
      <c r="T107" s="147" t="s">
        <v>655</v>
      </c>
      <c r="U107" s="148" t="s">
        <v>537</v>
      </c>
      <c r="V107" s="92"/>
      <c r="W107" s="92"/>
      <c r="X107" s="92"/>
      <c r="Y107" s="92"/>
      <c r="Z107" s="92"/>
    </row>
    <row r="108" spans="1:26" ht="15.75" hidden="1">
      <c r="A108" s="92"/>
      <c r="B108" s="92"/>
      <c r="C108" s="92"/>
      <c r="D108" s="92"/>
      <c r="E108" s="92"/>
      <c r="F108" s="92"/>
      <c r="G108" s="92"/>
      <c r="H108" s="92"/>
      <c r="I108" s="92"/>
      <c r="J108" s="92"/>
      <c r="K108" s="151">
        <f t="shared" si="5"/>
        <v>102</v>
      </c>
      <c r="L108" s="149" t="str">
        <f t="shared" si="7"/>
        <v>3105 INSTITUT DRUŠTVENIH ZNANOSTI IVO PILAR</v>
      </c>
      <c r="M108" s="149">
        <v>3105</v>
      </c>
      <c r="N108" s="152" t="s">
        <v>547</v>
      </c>
      <c r="O108" s="153" t="s">
        <v>493</v>
      </c>
      <c r="P108" s="152" t="s">
        <v>548</v>
      </c>
      <c r="Q108" s="152" t="s">
        <v>276</v>
      </c>
      <c r="R108" s="150">
        <v>3793028</v>
      </c>
      <c r="S108" s="146" t="s">
        <v>549</v>
      </c>
      <c r="T108" s="147" t="s">
        <v>655</v>
      </c>
      <c r="U108" s="148" t="s">
        <v>537</v>
      </c>
      <c r="V108" s="92"/>
      <c r="W108" s="92"/>
      <c r="X108" s="92"/>
      <c r="Y108" s="92"/>
      <c r="Z108" s="92"/>
    </row>
    <row r="109" spans="1:26" ht="15.75" hidden="1">
      <c r="A109" s="92"/>
      <c r="B109" s="92"/>
      <c r="C109" s="92"/>
      <c r="D109" s="92"/>
      <c r="E109" s="92"/>
      <c r="F109" s="92"/>
      <c r="G109" s="92"/>
      <c r="H109" s="92"/>
      <c r="I109" s="92"/>
      <c r="J109" s="92"/>
      <c r="K109" s="151">
        <f t="shared" si="5"/>
        <v>103</v>
      </c>
      <c r="L109" s="149" t="str">
        <f t="shared" si="7"/>
        <v>3041 INSTITUT RUĐER BOŠKOVIĆ</v>
      </c>
      <c r="M109" s="149">
        <v>3041</v>
      </c>
      <c r="N109" s="152" t="s">
        <v>550</v>
      </c>
      <c r="O109" s="153" t="s">
        <v>493</v>
      </c>
      <c r="P109" s="152" t="s">
        <v>551</v>
      </c>
      <c r="Q109" s="152" t="s">
        <v>276</v>
      </c>
      <c r="R109" s="150">
        <v>3270289</v>
      </c>
      <c r="S109" s="146" t="s">
        <v>552</v>
      </c>
      <c r="T109" s="147" t="s">
        <v>655</v>
      </c>
      <c r="U109" s="148" t="s">
        <v>537</v>
      </c>
      <c r="V109" s="92"/>
      <c r="W109" s="92"/>
      <c r="X109" s="92"/>
      <c r="Y109" s="92"/>
      <c r="Z109" s="92"/>
    </row>
    <row r="110" spans="1:26" ht="15.75" hidden="1">
      <c r="A110" s="92"/>
      <c r="B110" s="92"/>
      <c r="C110" s="92"/>
      <c r="D110" s="92"/>
      <c r="E110" s="92"/>
      <c r="F110" s="92"/>
      <c r="G110" s="92"/>
      <c r="H110" s="92"/>
      <c r="I110" s="92"/>
      <c r="J110" s="92"/>
      <c r="K110" s="151">
        <f t="shared" si="5"/>
        <v>104</v>
      </c>
      <c r="L110" s="149" t="str">
        <f t="shared" si="7"/>
        <v>3113 INSTITUT ZA ANTROPOLOGIJU</v>
      </c>
      <c r="M110" s="149">
        <v>3113</v>
      </c>
      <c r="N110" s="152" t="s">
        <v>553</v>
      </c>
      <c r="O110" s="153" t="s">
        <v>493</v>
      </c>
      <c r="P110" s="152" t="s">
        <v>554</v>
      </c>
      <c r="Q110" s="152" t="s">
        <v>276</v>
      </c>
      <c r="R110" s="150">
        <v>3817121</v>
      </c>
      <c r="S110" s="146" t="s">
        <v>555</v>
      </c>
      <c r="T110" s="147" t="s">
        <v>655</v>
      </c>
      <c r="U110" s="148" t="s">
        <v>537</v>
      </c>
      <c r="V110" s="92"/>
      <c r="W110" s="92"/>
      <c r="X110" s="92"/>
      <c r="Y110" s="92"/>
      <c r="Z110" s="92"/>
    </row>
    <row r="111" spans="1:26" ht="15.75" hidden="1">
      <c r="A111" s="92"/>
      <c r="B111" s="92"/>
      <c r="C111" s="92"/>
      <c r="D111" s="92"/>
      <c r="E111" s="92"/>
      <c r="F111" s="92"/>
      <c r="G111" s="92"/>
      <c r="H111" s="92"/>
      <c r="I111" s="92"/>
      <c r="J111" s="92"/>
      <c r="K111" s="151">
        <f t="shared" si="5"/>
        <v>105</v>
      </c>
      <c r="L111" s="149" t="str">
        <f t="shared" si="7"/>
        <v>3121 INSTITUT ZA ARHEOLOGIJU</v>
      </c>
      <c r="M111" s="149">
        <v>3121</v>
      </c>
      <c r="N111" s="152" t="s">
        <v>556</v>
      </c>
      <c r="O111" s="153" t="s">
        <v>493</v>
      </c>
      <c r="P111" s="152" t="s">
        <v>554</v>
      </c>
      <c r="Q111" s="152" t="s">
        <v>276</v>
      </c>
      <c r="R111" s="150">
        <v>3937658</v>
      </c>
      <c r="S111" s="146" t="s">
        <v>557</v>
      </c>
      <c r="T111" s="147" t="s">
        <v>655</v>
      </c>
      <c r="U111" s="148" t="s">
        <v>537</v>
      </c>
      <c r="V111" s="92"/>
      <c r="W111" s="92"/>
      <c r="X111" s="92"/>
      <c r="Y111" s="92"/>
      <c r="Z111" s="92"/>
    </row>
    <row r="112" spans="1:26" ht="15.75" hidden="1">
      <c r="A112" s="92"/>
      <c r="B112" s="92"/>
      <c r="C112" s="92"/>
      <c r="D112" s="92"/>
      <c r="E112" s="92"/>
      <c r="F112" s="92"/>
      <c r="G112" s="92"/>
      <c r="H112" s="92"/>
      <c r="I112" s="92"/>
      <c r="J112" s="92"/>
      <c r="K112" s="151">
        <f t="shared" si="5"/>
        <v>106</v>
      </c>
      <c r="L112" s="149" t="str">
        <f t="shared" si="7"/>
        <v>3050 INSTITUT ZA DRUŠTVENA ISTRAŽIVANJA</v>
      </c>
      <c r="M112" s="149">
        <v>3050</v>
      </c>
      <c r="N112" s="152" t="s">
        <v>558</v>
      </c>
      <c r="O112" s="153" t="s">
        <v>493</v>
      </c>
      <c r="P112" s="152" t="s">
        <v>559</v>
      </c>
      <c r="Q112" s="152" t="s">
        <v>276</v>
      </c>
      <c r="R112" s="150">
        <v>3205118</v>
      </c>
      <c r="S112" s="146" t="s">
        <v>560</v>
      </c>
      <c r="T112" s="147" t="s">
        <v>655</v>
      </c>
      <c r="U112" s="148" t="s">
        <v>537</v>
      </c>
      <c r="V112" s="92"/>
      <c r="W112" s="92"/>
      <c r="X112" s="92"/>
      <c r="Y112" s="92"/>
      <c r="Z112" s="92"/>
    </row>
    <row r="113" spans="1:26" ht="15.75" hidden="1">
      <c r="A113" s="92"/>
      <c r="B113" s="92"/>
      <c r="C113" s="92"/>
      <c r="D113" s="92"/>
      <c r="E113" s="92"/>
      <c r="F113" s="92"/>
      <c r="G113" s="92"/>
      <c r="H113" s="92"/>
      <c r="I113" s="92"/>
      <c r="J113" s="92"/>
      <c r="K113" s="151">
        <f t="shared" si="5"/>
        <v>107</v>
      </c>
      <c r="L113" s="149" t="str">
        <f t="shared" si="7"/>
        <v>3084 INSTITUT ZA ETNOLOGIJU I FOLKLORISTIKU</v>
      </c>
      <c r="M113" s="149">
        <v>3084</v>
      </c>
      <c r="N113" s="152" t="s">
        <v>561</v>
      </c>
      <c r="O113" s="153" t="s">
        <v>493</v>
      </c>
      <c r="P113" s="152" t="s">
        <v>562</v>
      </c>
      <c r="Q113" s="152" t="s">
        <v>276</v>
      </c>
      <c r="R113" s="150">
        <v>3724042</v>
      </c>
      <c r="S113" s="146" t="s">
        <v>563</v>
      </c>
      <c r="T113" s="147" t="s">
        <v>655</v>
      </c>
      <c r="U113" s="148" t="s">
        <v>537</v>
      </c>
      <c r="V113" s="92"/>
      <c r="W113" s="92"/>
      <c r="X113" s="92"/>
      <c r="Y113" s="92"/>
      <c r="Z113" s="92"/>
    </row>
    <row r="114" spans="1:26" ht="15.75" hidden="1">
      <c r="A114" s="92"/>
      <c r="B114" s="92"/>
      <c r="C114" s="92"/>
      <c r="D114" s="92"/>
      <c r="E114" s="92"/>
      <c r="F114" s="92"/>
      <c r="G114" s="92"/>
      <c r="H114" s="92"/>
      <c r="I114" s="92"/>
      <c r="J114" s="92"/>
      <c r="K114" s="151">
        <f t="shared" si="5"/>
        <v>108</v>
      </c>
      <c r="L114" s="149" t="str">
        <f t="shared" si="7"/>
        <v>3092 INSTITUT ZA FILOZOFIJU</v>
      </c>
      <c r="M114" s="149">
        <v>3092</v>
      </c>
      <c r="N114" s="152" t="s">
        <v>564</v>
      </c>
      <c r="O114" s="153" t="s">
        <v>493</v>
      </c>
      <c r="P114" s="152" t="s">
        <v>1733</v>
      </c>
      <c r="Q114" s="152" t="s">
        <v>276</v>
      </c>
      <c r="R114" s="150">
        <v>3772047</v>
      </c>
      <c r="S114" s="146" t="s">
        <v>565</v>
      </c>
      <c r="T114" s="147" t="s">
        <v>655</v>
      </c>
      <c r="U114" s="148" t="s">
        <v>537</v>
      </c>
      <c r="V114" s="92"/>
      <c r="W114" s="92"/>
      <c r="X114" s="92"/>
      <c r="Y114" s="92"/>
      <c r="Z114" s="92"/>
    </row>
    <row r="115" spans="1:26" ht="15.75" hidden="1">
      <c r="A115" s="92"/>
      <c r="B115" s="92"/>
      <c r="C115" s="92"/>
      <c r="D115" s="92"/>
      <c r="E115" s="92"/>
      <c r="F115" s="92"/>
      <c r="G115" s="92"/>
      <c r="H115" s="92"/>
      <c r="I115" s="92"/>
      <c r="J115" s="92"/>
      <c r="K115" s="151">
        <f t="shared" si="5"/>
        <v>109</v>
      </c>
      <c r="L115" s="149" t="str">
        <f t="shared" si="7"/>
        <v>2975 INSTITUT ZA FIZIKU</v>
      </c>
      <c r="M115" s="149">
        <v>2975</v>
      </c>
      <c r="N115" s="152" t="s">
        <v>566</v>
      </c>
      <c r="O115" s="153" t="s">
        <v>493</v>
      </c>
      <c r="P115" s="152" t="s">
        <v>551</v>
      </c>
      <c r="Q115" s="152" t="s">
        <v>276</v>
      </c>
      <c r="R115" s="150">
        <v>3270424</v>
      </c>
      <c r="S115" s="146" t="s">
        <v>567</v>
      </c>
      <c r="T115" s="147" t="s">
        <v>655</v>
      </c>
      <c r="U115" s="148" t="s">
        <v>537</v>
      </c>
      <c r="V115" s="92"/>
      <c r="W115" s="92"/>
      <c r="X115" s="92"/>
      <c r="Y115" s="92"/>
      <c r="Z115" s="92"/>
    </row>
    <row r="116" spans="1:26" ht="15.75" hidden="1">
      <c r="A116" s="92"/>
      <c r="B116" s="92"/>
      <c r="C116" s="92"/>
      <c r="D116" s="92"/>
      <c r="E116" s="92"/>
      <c r="F116" s="92"/>
      <c r="G116" s="92"/>
      <c r="H116" s="92"/>
      <c r="I116" s="92"/>
      <c r="J116" s="92"/>
      <c r="K116" s="151">
        <f t="shared" si="5"/>
        <v>110</v>
      </c>
      <c r="L116" s="149" t="str">
        <f t="shared" si="7"/>
        <v>21061 INSTITUT ZA HRVATSKI JEZIK I JEZIKOSLOVLJE</v>
      </c>
      <c r="M116" s="149">
        <v>21061</v>
      </c>
      <c r="N116" s="152" t="s">
        <v>571</v>
      </c>
      <c r="O116" s="153" t="s">
        <v>493</v>
      </c>
      <c r="P116" s="152" t="s">
        <v>572</v>
      </c>
      <c r="Q116" s="152" t="s">
        <v>276</v>
      </c>
      <c r="R116" s="150">
        <v>1259571</v>
      </c>
      <c r="S116" s="146" t="s">
        <v>573</v>
      </c>
      <c r="T116" s="147" t="s">
        <v>655</v>
      </c>
      <c r="U116" s="148" t="s">
        <v>537</v>
      </c>
      <c r="V116" s="92"/>
      <c r="W116" s="92"/>
      <c r="X116" s="92"/>
      <c r="Y116" s="92"/>
      <c r="Z116" s="92"/>
    </row>
    <row r="117" spans="1:26" ht="15.75" hidden="1">
      <c r="A117" s="92"/>
      <c r="B117" s="92"/>
      <c r="C117" s="92"/>
      <c r="D117" s="92"/>
      <c r="E117" s="92"/>
      <c r="F117" s="92"/>
      <c r="G117" s="92"/>
      <c r="H117" s="92"/>
      <c r="I117" s="92"/>
      <c r="J117" s="92"/>
      <c r="K117" s="151">
        <f t="shared" si="5"/>
        <v>111</v>
      </c>
      <c r="L117" s="149" t="str">
        <f t="shared" si="7"/>
        <v>3025 INSTITUT ZA JADRANSKE KULTURE I MELIORACIJU KRŠA</v>
      </c>
      <c r="M117" s="149">
        <v>3025</v>
      </c>
      <c r="N117" s="152" t="s">
        <v>574</v>
      </c>
      <c r="O117" s="153" t="s">
        <v>493</v>
      </c>
      <c r="P117" s="152" t="s">
        <v>575</v>
      </c>
      <c r="Q117" s="152" t="s">
        <v>361</v>
      </c>
      <c r="R117" s="150">
        <v>3140792</v>
      </c>
      <c r="S117" s="146" t="s">
        <v>576</v>
      </c>
      <c r="T117" s="147" t="s">
        <v>655</v>
      </c>
      <c r="U117" s="148" t="s">
        <v>537</v>
      </c>
      <c r="V117" s="92"/>
      <c r="W117" s="92"/>
      <c r="X117" s="92"/>
      <c r="Y117" s="92"/>
      <c r="Z117" s="92"/>
    </row>
    <row r="118" spans="1:26" ht="15.75" hidden="1">
      <c r="A118" s="92"/>
      <c r="B118" s="92"/>
      <c r="C118" s="92"/>
      <c r="D118" s="92"/>
      <c r="E118" s="92"/>
      <c r="F118" s="92"/>
      <c r="G118" s="92"/>
      <c r="H118" s="92"/>
      <c r="I118" s="92"/>
      <c r="J118" s="92"/>
      <c r="K118" s="151">
        <f t="shared" si="5"/>
        <v>112</v>
      </c>
      <c r="L118" s="149" t="str">
        <f t="shared" si="7"/>
        <v>23286 INSTITUT ZA JAVNE FINANCIJE</v>
      </c>
      <c r="M118" s="149">
        <v>23286</v>
      </c>
      <c r="N118" s="152" t="s">
        <v>577</v>
      </c>
      <c r="O118" s="153" t="s">
        <v>493</v>
      </c>
      <c r="P118" s="152" t="s">
        <v>578</v>
      </c>
      <c r="Q118" s="152" t="s">
        <v>276</v>
      </c>
      <c r="R118" s="150">
        <v>3226344</v>
      </c>
      <c r="S118" s="146" t="s">
        <v>579</v>
      </c>
      <c r="T118" s="147" t="s">
        <v>655</v>
      </c>
      <c r="U118" s="148" t="s">
        <v>537</v>
      </c>
      <c r="V118" s="92"/>
      <c r="W118" s="92"/>
      <c r="X118" s="92"/>
      <c r="Y118" s="92"/>
      <c r="Z118" s="92"/>
    </row>
    <row r="119" spans="1:26" ht="15.75" hidden="1">
      <c r="A119" s="92"/>
      <c r="B119" s="92"/>
      <c r="C119" s="92"/>
      <c r="D119" s="92"/>
      <c r="E119" s="92"/>
      <c r="F119" s="92"/>
      <c r="G119" s="92"/>
      <c r="H119" s="92"/>
      <c r="I119" s="92"/>
      <c r="J119" s="92"/>
      <c r="K119" s="151">
        <f t="shared" si="5"/>
        <v>113</v>
      </c>
      <c r="L119" s="149" t="str">
        <f t="shared" si="7"/>
        <v>2959 INSTITUT ZA MEDICINSKA ISTRAŽIVANJA I MEDICINU RADA</v>
      </c>
      <c r="M119" s="149">
        <v>2959</v>
      </c>
      <c r="N119" s="152" t="s">
        <v>580</v>
      </c>
      <c r="O119" s="153" t="s">
        <v>493</v>
      </c>
      <c r="P119" s="152" t="s">
        <v>581</v>
      </c>
      <c r="Q119" s="152" t="s">
        <v>276</v>
      </c>
      <c r="R119" s="150">
        <v>3270475</v>
      </c>
      <c r="S119" s="146" t="s">
        <v>582</v>
      </c>
      <c r="T119" s="147" t="s">
        <v>655</v>
      </c>
      <c r="U119" s="148" t="s">
        <v>537</v>
      </c>
      <c r="V119" s="92"/>
      <c r="W119" s="92"/>
      <c r="X119" s="92"/>
      <c r="Y119" s="92"/>
      <c r="Z119" s="92"/>
    </row>
    <row r="120" spans="1:26" ht="15.75" hidden="1">
      <c r="A120" s="92"/>
      <c r="B120" s="92"/>
      <c r="C120" s="92"/>
      <c r="D120" s="92"/>
      <c r="E120" s="92"/>
      <c r="F120" s="92"/>
      <c r="G120" s="92"/>
      <c r="H120" s="92"/>
      <c r="I120" s="92"/>
      <c r="J120" s="92"/>
      <c r="K120" s="151">
        <f t="shared" si="5"/>
        <v>114</v>
      </c>
      <c r="L120" s="149" t="str">
        <f t="shared" si="7"/>
        <v>3009 INSTITUT ZA MIGRACIJE I NARODNOSTI</v>
      </c>
      <c r="M120" s="149">
        <v>3009</v>
      </c>
      <c r="N120" s="152" t="s">
        <v>585</v>
      </c>
      <c r="O120" s="153" t="s">
        <v>493</v>
      </c>
      <c r="P120" s="152" t="s">
        <v>586</v>
      </c>
      <c r="Q120" s="152" t="s">
        <v>276</v>
      </c>
      <c r="R120" s="150">
        <v>3287572</v>
      </c>
      <c r="S120" s="146" t="s">
        <v>587</v>
      </c>
      <c r="T120" s="147" t="s">
        <v>655</v>
      </c>
      <c r="U120" s="148" t="s">
        <v>537</v>
      </c>
      <c r="V120" s="92"/>
      <c r="W120" s="92"/>
      <c r="X120" s="92"/>
      <c r="Y120" s="92"/>
      <c r="Z120" s="92"/>
    </row>
    <row r="121" spans="1:26" ht="15.75" hidden="1">
      <c r="A121" s="92"/>
      <c r="B121" s="92"/>
      <c r="C121" s="92"/>
      <c r="D121" s="92"/>
      <c r="E121" s="92"/>
      <c r="F121" s="92"/>
      <c r="G121" s="92"/>
      <c r="H121" s="92"/>
      <c r="I121" s="92"/>
      <c r="J121" s="92"/>
      <c r="K121" s="151">
        <f t="shared" si="5"/>
        <v>115</v>
      </c>
      <c r="L121" s="149" t="str">
        <f t="shared" si="7"/>
        <v>2900 INSTITUT ZA OCEANOGRAFIJU I RIBARSTVO</v>
      </c>
      <c r="M121" s="149">
        <v>2900</v>
      </c>
      <c r="N121" s="152" t="s">
        <v>588</v>
      </c>
      <c r="O121" s="153" t="s">
        <v>493</v>
      </c>
      <c r="P121" s="152" t="s">
        <v>1735</v>
      </c>
      <c r="Q121" s="152" t="s">
        <v>361</v>
      </c>
      <c r="R121" s="150">
        <v>3118355</v>
      </c>
      <c r="S121" s="146" t="s">
        <v>589</v>
      </c>
      <c r="T121" s="147" t="s">
        <v>655</v>
      </c>
      <c r="U121" s="148" t="s">
        <v>537</v>
      </c>
      <c r="V121" s="92"/>
      <c r="W121" s="92"/>
      <c r="X121" s="92"/>
      <c r="Y121" s="92"/>
      <c r="Z121" s="92"/>
    </row>
    <row r="122" spans="1:26" ht="15.75" hidden="1">
      <c r="A122" s="92"/>
      <c r="B122" s="92"/>
      <c r="C122" s="92"/>
      <c r="D122" s="92"/>
      <c r="E122" s="92"/>
      <c r="F122" s="92"/>
      <c r="G122" s="92"/>
      <c r="H122" s="92"/>
      <c r="I122" s="92"/>
      <c r="J122" s="92"/>
      <c r="K122" s="151">
        <f t="shared" si="5"/>
        <v>116</v>
      </c>
      <c r="L122" s="149" t="str">
        <f t="shared" si="7"/>
        <v>3076 INSTITUT ZA POLJOPRIVREDU I TURIZAM</v>
      </c>
      <c r="M122" s="149">
        <v>3076</v>
      </c>
      <c r="N122" s="152" t="s">
        <v>590</v>
      </c>
      <c r="O122" s="153" t="s">
        <v>493</v>
      </c>
      <c r="P122" s="152" t="s">
        <v>591</v>
      </c>
      <c r="Q122" s="152" t="s">
        <v>592</v>
      </c>
      <c r="R122" s="150">
        <v>3421031</v>
      </c>
      <c r="S122" s="146" t="s">
        <v>593</v>
      </c>
      <c r="T122" s="147" t="s">
        <v>655</v>
      </c>
      <c r="U122" s="148" t="s">
        <v>537</v>
      </c>
      <c r="V122" s="92"/>
      <c r="W122" s="92"/>
      <c r="X122" s="92"/>
      <c r="Y122" s="92"/>
      <c r="Z122" s="92"/>
    </row>
    <row r="123" spans="1:26" ht="15.75" hidden="1">
      <c r="A123" s="92"/>
      <c r="B123" s="92"/>
      <c r="C123" s="92"/>
      <c r="D123" s="92"/>
      <c r="E123" s="92"/>
      <c r="F123" s="92"/>
      <c r="G123" s="92"/>
      <c r="H123" s="92"/>
      <c r="I123" s="92"/>
      <c r="J123" s="92"/>
      <c r="K123" s="151">
        <f t="shared" si="5"/>
        <v>117</v>
      </c>
      <c r="L123" s="149" t="str">
        <f t="shared" si="7"/>
        <v>2942 INSTITUT ZA POVIJEST UMJETNOSTI</v>
      </c>
      <c r="M123" s="149">
        <v>2942</v>
      </c>
      <c r="N123" s="152" t="s">
        <v>594</v>
      </c>
      <c r="O123" s="153" t="s">
        <v>493</v>
      </c>
      <c r="P123" s="152" t="s">
        <v>595</v>
      </c>
      <c r="Q123" s="152" t="s">
        <v>276</v>
      </c>
      <c r="R123" s="150">
        <v>1339958</v>
      </c>
      <c r="S123" s="146" t="s">
        <v>596</v>
      </c>
      <c r="T123" s="147" t="s">
        <v>655</v>
      </c>
      <c r="U123" s="148" t="s">
        <v>537</v>
      </c>
      <c r="V123" s="92"/>
      <c r="W123" s="92"/>
      <c r="X123" s="92"/>
      <c r="Y123" s="92"/>
      <c r="Z123" s="92"/>
    </row>
    <row r="124" spans="1:26" ht="15.75" hidden="1">
      <c r="A124" s="92"/>
      <c r="B124" s="92"/>
      <c r="C124" s="92"/>
      <c r="D124" s="92"/>
      <c r="E124" s="92"/>
      <c r="F124" s="92"/>
      <c r="G124" s="92"/>
      <c r="H124" s="92"/>
      <c r="I124" s="92"/>
      <c r="J124" s="92"/>
      <c r="K124" s="151">
        <f t="shared" si="5"/>
        <v>118</v>
      </c>
      <c r="L124" s="149" t="str">
        <f t="shared" si="7"/>
        <v>22621 INSTITUT ZA RAZVOJ I MEĐUNARODNE ODNOSE</v>
      </c>
      <c r="M124" s="149">
        <v>22621</v>
      </c>
      <c r="N124" s="152" t="s">
        <v>583</v>
      </c>
      <c r="O124" s="153" t="s">
        <v>493</v>
      </c>
      <c r="P124" s="152" t="s">
        <v>1734</v>
      </c>
      <c r="Q124" s="152" t="s">
        <v>276</v>
      </c>
      <c r="R124" s="150">
        <v>3205177</v>
      </c>
      <c r="S124" s="146" t="s">
        <v>584</v>
      </c>
      <c r="T124" s="147" t="s">
        <v>655</v>
      </c>
      <c r="U124" s="148" t="s">
        <v>537</v>
      </c>
      <c r="V124" s="92"/>
      <c r="W124" s="92"/>
      <c r="X124" s="92"/>
      <c r="Y124" s="92"/>
      <c r="Z124" s="92"/>
    </row>
    <row r="125" spans="1:26" ht="15.75" hidden="1">
      <c r="A125" s="92"/>
      <c r="B125" s="92"/>
      <c r="C125" s="92"/>
      <c r="D125" s="92"/>
      <c r="E125" s="92"/>
      <c r="F125" s="92"/>
      <c r="G125" s="92"/>
      <c r="H125" s="92"/>
      <c r="I125" s="92"/>
      <c r="J125" s="92"/>
      <c r="K125" s="151">
        <f t="shared" si="5"/>
        <v>119</v>
      </c>
      <c r="L125" s="149" t="str">
        <f t="shared" si="7"/>
        <v>3068 INSTITUT ZA TURIZAM</v>
      </c>
      <c r="M125" s="149">
        <v>3068</v>
      </c>
      <c r="N125" s="152" t="s">
        <v>597</v>
      </c>
      <c r="O125" s="153" t="s">
        <v>493</v>
      </c>
      <c r="P125" s="152" t="s">
        <v>598</v>
      </c>
      <c r="Q125" s="152" t="s">
        <v>276</v>
      </c>
      <c r="R125" s="150">
        <v>3208001</v>
      </c>
      <c r="S125" s="146" t="s">
        <v>599</v>
      </c>
      <c r="T125" s="147" t="s">
        <v>655</v>
      </c>
      <c r="U125" s="148" t="s">
        <v>537</v>
      </c>
      <c r="V125" s="92"/>
      <c r="W125" s="92"/>
      <c r="X125" s="92"/>
      <c r="Y125" s="92"/>
      <c r="Z125" s="92"/>
    </row>
    <row r="126" spans="1:26" ht="15.75" hidden="1">
      <c r="A126" s="92"/>
      <c r="B126" s="92"/>
      <c r="C126" s="92"/>
      <c r="D126" s="92"/>
      <c r="E126" s="92"/>
      <c r="F126" s="92"/>
      <c r="G126" s="92"/>
      <c r="H126" s="92"/>
      <c r="I126" s="92"/>
      <c r="J126" s="92"/>
      <c r="K126" s="151">
        <f t="shared" si="5"/>
        <v>120</v>
      </c>
      <c r="L126" s="149" t="str">
        <f t="shared" si="7"/>
        <v>2991 POLJOPRIVREDNI INSTITUT OSIJEK</v>
      </c>
      <c r="M126" s="149">
        <v>2991</v>
      </c>
      <c r="N126" s="152" t="s">
        <v>1736</v>
      </c>
      <c r="O126" s="153" t="s">
        <v>493</v>
      </c>
      <c r="P126" s="152" t="s">
        <v>1737</v>
      </c>
      <c r="Q126" s="152" t="s">
        <v>279</v>
      </c>
      <c r="R126" s="150">
        <v>3058239</v>
      </c>
      <c r="S126" s="146" t="s">
        <v>1738</v>
      </c>
      <c r="T126" s="147" t="s">
        <v>655</v>
      </c>
      <c r="U126" s="148" t="s">
        <v>537</v>
      </c>
      <c r="V126" s="92"/>
      <c r="W126" s="92"/>
      <c r="X126" s="92"/>
      <c r="Y126" s="92"/>
      <c r="Z126" s="92"/>
    </row>
    <row r="127" spans="1:26" ht="15.75" hidden="1">
      <c r="A127" s="92"/>
      <c r="B127" s="92"/>
      <c r="C127" s="92"/>
      <c r="D127" s="92"/>
      <c r="E127" s="92"/>
      <c r="F127" s="92"/>
      <c r="G127" s="92"/>
      <c r="H127" s="92"/>
      <c r="I127" s="92"/>
      <c r="J127" s="92"/>
      <c r="K127" s="151">
        <f t="shared" si="5"/>
        <v>121</v>
      </c>
      <c r="L127" s="149" t="str">
        <f t="shared" si="7"/>
        <v>21070 STAROSLAVENSKI INSTITUT</v>
      </c>
      <c r="M127" s="149">
        <v>21070</v>
      </c>
      <c r="N127" s="152" t="s">
        <v>600</v>
      </c>
      <c r="O127" s="153" t="s">
        <v>493</v>
      </c>
      <c r="P127" s="152" t="s">
        <v>601</v>
      </c>
      <c r="Q127" s="152" t="s">
        <v>276</v>
      </c>
      <c r="R127" s="150">
        <v>1259563</v>
      </c>
      <c r="S127" s="146" t="s">
        <v>602</v>
      </c>
      <c r="T127" s="147" t="s">
        <v>655</v>
      </c>
      <c r="U127" s="148" t="s">
        <v>537</v>
      </c>
      <c r="V127" s="92"/>
      <c r="W127" s="92"/>
      <c r="X127" s="92"/>
      <c r="Y127" s="92"/>
      <c r="Z127" s="92"/>
    </row>
    <row r="128" spans="1:26" ht="15.75" hidden="1">
      <c r="A128" s="92"/>
      <c r="B128" s="92"/>
      <c r="C128" s="92"/>
      <c r="D128" s="92"/>
      <c r="E128" s="92"/>
      <c r="F128" s="92"/>
      <c r="G128" s="92"/>
      <c r="H128" s="92"/>
      <c r="I128" s="92"/>
      <c r="J128" s="92"/>
      <c r="K128" s="151">
        <f t="shared" si="5"/>
        <v>122</v>
      </c>
      <c r="L128" s="149" t="str">
        <f t="shared" si="7"/>
        <v>6179 DRŽAVNI ZAVOD ZA INTELEKTUALNO VLASNIŠTVO</v>
      </c>
      <c r="M128" s="149">
        <v>6179</v>
      </c>
      <c r="N128" s="152" t="s">
        <v>608</v>
      </c>
      <c r="O128" s="153" t="s">
        <v>493</v>
      </c>
      <c r="P128" s="158" t="s">
        <v>609</v>
      </c>
      <c r="Q128" s="152" t="s">
        <v>276</v>
      </c>
      <c r="R128" s="150">
        <v>3899772</v>
      </c>
      <c r="S128" s="146" t="s">
        <v>610</v>
      </c>
      <c r="T128" s="147" t="s">
        <v>1739</v>
      </c>
      <c r="U128" s="148" t="s">
        <v>965</v>
      </c>
      <c r="V128" s="92"/>
      <c r="W128" s="92"/>
      <c r="X128" s="92"/>
      <c r="Y128" s="92"/>
      <c r="Z128" s="92"/>
    </row>
    <row r="129" spans="1:26" ht="15.75" hidden="1">
      <c r="A129" s="92"/>
      <c r="B129" s="92"/>
      <c r="C129" s="92"/>
      <c r="D129" s="92"/>
      <c r="E129" s="92"/>
      <c r="F129" s="92"/>
      <c r="G129" s="92"/>
      <c r="H129" s="92"/>
      <c r="I129" s="92"/>
      <c r="J129" s="92"/>
      <c r="K129" s="151">
        <f t="shared" si="5"/>
        <v>123</v>
      </c>
      <c r="L129" s="149" t="str">
        <f t="shared" si="7"/>
        <v>43335 AGENCIJA ZA MOBILNOST I PROGRAME EUROPSKE UNIJE</v>
      </c>
      <c r="M129" s="149">
        <v>43335</v>
      </c>
      <c r="N129" s="152" t="s">
        <v>629</v>
      </c>
      <c r="O129" s="153" t="s">
        <v>493</v>
      </c>
      <c r="P129" s="158" t="s">
        <v>618</v>
      </c>
      <c r="Q129" s="152" t="s">
        <v>276</v>
      </c>
      <c r="R129" s="150">
        <v>2298007</v>
      </c>
      <c r="S129" s="146" t="s">
        <v>630</v>
      </c>
      <c r="T129" s="147" t="s">
        <v>634</v>
      </c>
      <c r="U129" s="148" t="s">
        <v>607</v>
      </c>
      <c r="V129" s="92"/>
      <c r="W129" s="92"/>
      <c r="X129" s="92"/>
      <c r="Y129" s="92"/>
      <c r="Z129" s="92"/>
    </row>
    <row r="130" spans="1:26" ht="15.75" hidden="1">
      <c r="A130" s="92"/>
      <c r="B130" s="92"/>
      <c r="C130" s="92"/>
      <c r="D130" s="92"/>
      <c r="E130" s="92"/>
      <c r="F130" s="92"/>
      <c r="G130" s="92"/>
      <c r="H130" s="92"/>
      <c r="I130" s="92"/>
      <c r="J130" s="92"/>
      <c r="K130" s="151">
        <f t="shared" si="5"/>
        <v>124</v>
      </c>
      <c r="L130" s="149" t="str">
        <f t="shared" si="7"/>
        <v>23962 AGENCIJA ZA ODGOJ I OBRAZOVANJE</v>
      </c>
      <c r="M130" s="149">
        <v>23962</v>
      </c>
      <c r="N130" s="152" t="s">
        <v>622</v>
      </c>
      <c r="O130" s="153" t="s">
        <v>493</v>
      </c>
      <c r="P130" s="158" t="s">
        <v>275</v>
      </c>
      <c r="Q130" s="152" t="s">
        <v>276</v>
      </c>
      <c r="R130" s="150">
        <v>1778129</v>
      </c>
      <c r="S130" s="146" t="s">
        <v>623</v>
      </c>
      <c r="T130" s="147" t="s">
        <v>634</v>
      </c>
      <c r="U130" s="148" t="s">
        <v>607</v>
      </c>
      <c r="V130" s="92"/>
      <c r="W130" s="92"/>
      <c r="X130" s="92"/>
      <c r="Y130" s="92"/>
      <c r="Z130" s="92"/>
    </row>
    <row r="131" spans="1:26" ht="15.75" hidden="1">
      <c r="A131" s="92"/>
      <c r="B131" s="92"/>
      <c r="C131" s="92"/>
      <c r="D131" s="92"/>
      <c r="E131" s="92"/>
      <c r="F131" s="92"/>
      <c r="G131" s="92"/>
      <c r="H131" s="92"/>
      <c r="I131" s="92"/>
      <c r="J131" s="92"/>
      <c r="K131" s="151">
        <f t="shared" si="5"/>
        <v>125</v>
      </c>
      <c r="L131" s="149" t="str">
        <f t="shared" si="7"/>
        <v>46173 AGENCIJA ZA STRUKOVNO OBRAZOVANJE I OBRAZOVANJE ODRASLIH</v>
      </c>
      <c r="M131" s="149">
        <v>46173</v>
      </c>
      <c r="N131" s="152" t="s">
        <v>631</v>
      </c>
      <c r="O131" s="153" t="s">
        <v>493</v>
      </c>
      <c r="P131" s="158" t="s">
        <v>1776</v>
      </c>
      <c r="Q131" s="152" t="s">
        <v>276</v>
      </c>
      <c r="R131" s="150">
        <v>2650029</v>
      </c>
      <c r="S131" s="146" t="s">
        <v>632</v>
      </c>
      <c r="T131" s="147" t="s">
        <v>634</v>
      </c>
      <c r="U131" s="148" t="s">
        <v>607</v>
      </c>
      <c r="V131" s="92"/>
      <c r="W131" s="92"/>
      <c r="X131" s="92"/>
      <c r="Y131" s="92"/>
      <c r="Z131" s="92"/>
    </row>
    <row r="132" spans="1:26" ht="15.75" hidden="1">
      <c r="A132" s="92"/>
      <c r="B132" s="92"/>
      <c r="C132" s="92"/>
      <c r="D132" s="92"/>
      <c r="E132" s="92"/>
      <c r="F132" s="92"/>
      <c r="G132" s="92"/>
      <c r="H132" s="92"/>
      <c r="I132" s="92"/>
      <c r="J132" s="92"/>
      <c r="K132" s="151">
        <f t="shared" si="5"/>
        <v>126</v>
      </c>
      <c r="L132" s="149" t="str">
        <f t="shared" si="7"/>
        <v>38487 AGENCIJA ZA ZNANOST I VISOKO OBRAZOVANJE</v>
      </c>
      <c r="M132" s="149">
        <v>38487</v>
      </c>
      <c r="N132" s="152" t="s">
        <v>624</v>
      </c>
      <c r="O132" s="153" t="s">
        <v>493</v>
      </c>
      <c r="P132" s="152" t="s">
        <v>625</v>
      </c>
      <c r="Q132" s="152" t="s">
        <v>276</v>
      </c>
      <c r="R132" s="150">
        <v>1922548</v>
      </c>
      <c r="S132" s="146" t="s">
        <v>626</v>
      </c>
      <c r="T132" s="147" t="s">
        <v>634</v>
      </c>
      <c r="U132" s="148" t="s">
        <v>607</v>
      </c>
      <c r="V132" s="92"/>
      <c r="W132" s="92"/>
      <c r="X132" s="92"/>
      <c r="Y132" s="92"/>
      <c r="Z132" s="92"/>
    </row>
    <row r="133" spans="1:26" ht="15.75" hidden="1">
      <c r="A133" s="92"/>
      <c r="B133" s="92"/>
      <c r="C133" s="92"/>
      <c r="D133" s="92"/>
      <c r="E133" s="92"/>
      <c r="F133" s="92"/>
      <c r="G133" s="92"/>
      <c r="H133" s="92"/>
      <c r="I133" s="92"/>
      <c r="J133" s="92"/>
      <c r="K133" s="151">
        <f t="shared" si="5"/>
        <v>127</v>
      </c>
      <c r="L133" s="149" t="str">
        <f t="shared" si="7"/>
        <v>21852 HRVATSKA AKADEMSKA I ISTRAŽIVAČKA MREŽA - CARNET</v>
      </c>
      <c r="M133" s="149">
        <v>21852</v>
      </c>
      <c r="N133" s="152" t="s">
        <v>614</v>
      </c>
      <c r="O133" s="153" t="s">
        <v>493</v>
      </c>
      <c r="P133" s="158" t="s">
        <v>615</v>
      </c>
      <c r="Q133" s="152" t="s">
        <v>276</v>
      </c>
      <c r="R133" s="150">
        <v>1147820</v>
      </c>
      <c r="S133" s="146" t="s">
        <v>616</v>
      </c>
      <c r="T133" s="147" t="s">
        <v>634</v>
      </c>
      <c r="U133" s="148" t="s">
        <v>607</v>
      </c>
      <c r="V133" s="92"/>
      <c r="W133" s="92"/>
      <c r="X133" s="92"/>
      <c r="Y133" s="92"/>
      <c r="Z133" s="92"/>
    </row>
    <row r="134" spans="1:26" ht="15.75" hidden="1">
      <c r="A134" s="92"/>
      <c r="B134" s="92"/>
      <c r="C134" s="92"/>
      <c r="D134" s="92"/>
      <c r="E134" s="92"/>
      <c r="F134" s="92"/>
      <c r="G134" s="92"/>
      <c r="H134" s="92"/>
      <c r="I134" s="92"/>
      <c r="J134" s="92"/>
      <c r="K134" s="151">
        <f t="shared" si="5"/>
        <v>128</v>
      </c>
      <c r="L134" s="149" t="str">
        <f t="shared" si="7"/>
        <v>52209 HRVATSKA ZAKLADA ZA ZNANOST</v>
      </c>
      <c r="M134" s="149">
        <v>52209</v>
      </c>
      <c r="N134" s="152" t="s">
        <v>3539</v>
      </c>
      <c r="O134" s="153" t="s">
        <v>493</v>
      </c>
      <c r="P134" s="158" t="s">
        <v>3540</v>
      </c>
      <c r="Q134" s="152" t="s">
        <v>276</v>
      </c>
      <c r="R134" s="150">
        <v>1626841</v>
      </c>
      <c r="S134" s="146">
        <v>88776522763</v>
      </c>
      <c r="T134" s="147" t="s">
        <v>634</v>
      </c>
      <c r="U134" s="148" t="s">
        <v>3541</v>
      </c>
      <c r="V134" s="92"/>
      <c r="W134" s="92"/>
      <c r="X134" s="92"/>
      <c r="Y134" s="92"/>
      <c r="Z134" s="92"/>
    </row>
    <row r="135" spans="1:26" ht="15.75" hidden="1">
      <c r="A135" s="92"/>
      <c r="B135" s="92"/>
      <c r="C135" s="92"/>
      <c r="D135" s="92"/>
      <c r="E135" s="92"/>
      <c r="F135" s="92"/>
      <c r="G135" s="92"/>
      <c r="H135" s="92"/>
      <c r="I135" s="92"/>
      <c r="J135" s="92"/>
      <c r="K135" s="151">
        <f t="shared" si="5"/>
        <v>129</v>
      </c>
      <c r="L135" s="149" t="str">
        <f t="shared" si="7"/>
        <v>21869 LEKSIKOGRAFSKI ZAVOD MIROSLAV KRLEŽA</v>
      </c>
      <c r="M135" s="149">
        <v>21869</v>
      </c>
      <c r="N135" s="152" t="s">
        <v>617</v>
      </c>
      <c r="O135" s="153" t="s">
        <v>493</v>
      </c>
      <c r="P135" s="158" t="s">
        <v>618</v>
      </c>
      <c r="Q135" s="152" t="s">
        <v>276</v>
      </c>
      <c r="R135" s="150">
        <v>3211622</v>
      </c>
      <c r="S135" s="146" t="s">
        <v>619</v>
      </c>
      <c r="T135" s="147" t="s">
        <v>634</v>
      </c>
      <c r="U135" s="148" t="s">
        <v>607</v>
      </c>
      <c r="V135" s="92"/>
      <c r="W135" s="92"/>
      <c r="X135" s="92"/>
      <c r="Y135" s="92"/>
      <c r="Z135" s="92"/>
    </row>
    <row r="136" spans="1:26" ht="15.75" hidden="1">
      <c r="A136" s="92"/>
      <c r="B136" s="92"/>
      <c r="C136" s="92"/>
      <c r="D136" s="92"/>
      <c r="E136" s="92"/>
      <c r="F136" s="92"/>
      <c r="G136" s="92"/>
      <c r="H136" s="92"/>
      <c r="I136" s="92"/>
      <c r="J136" s="92"/>
      <c r="K136" s="151">
        <f t="shared" ref="K136:K138" si="13">+K135+1</f>
        <v>130</v>
      </c>
      <c r="L136" s="149" t="str">
        <f t="shared" ref="L136:L138" si="14">M136&amp;" "&amp;N136</f>
        <v>21836 NACIONALNA I SVEUČILIŠNA KNJIŽNICA U ZAGREBU</v>
      </c>
      <c r="M136" s="149">
        <v>21836</v>
      </c>
      <c r="N136" s="152" t="s">
        <v>611</v>
      </c>
      <c r="O136" s="153" t="s">
        <v>493</v>
      </c>
      <c r="P136" s="158" t="s">
        <v>612</v>
      </c>
      <c r="Q136" s="152" t="s">
        <v>276</v>
      </c>
      <c r="R136" s="150">
        <v>3205363</v>
      </c>
      <c r="S136" s="146" t="s">
        <v>613</v>
      </c>
      <c r="T136" s="147" t="s">
        <v>634</v>
      </c>
      <c r="U136" s="148" t="s">
        <v>607</v>
      </c>
      <c r="V136" s="92"/>
      <c r="W136" s="92"/>
      <c r="X136" s="92"/>
      <c r="Y136" s="92"/>
      <c r="Z136" s="92"/>
    </row>
    <row r="137" spans="1:26" ht="15.75" hidden="1">
      <c r="A137" s="92"/>
      <c r="B137" s="92"/>
      <c r="C137" s="92"/>
      <c r="D137" s="92"/>
      <c r="E137" s="92"/>
      <c r="F137" s="92"/>
      <c r="G137" s="92"/>
      <c r="H137" s="92"/>
      <c r="I137" s="92"/>
      <c r="J137" s="92"/>
      <c r="K137" s="151">
        <f t="shared" si="13"/>
        <v>131</v>
      </c>
      <c r="L137" s="149" t="str">
        <f t="shared" si="14"/>
        <v>40883 NACIONALNI CENTAR ZA VANJSKO VREDNOVANJE OBRAZOVANJA</v>
      </c>
      <c r="M137" s="149">
        <v>40883</v>
      </c>
      <c r="N137" s="152" t="s">
        <v>627</v>
      </c>
      <c r="O137" s="153" t="s">
        <v>493</v>
      </c>
      <c r="P137" s="158" t="s">
        <v>1777</v>
      </c>
      <c r="Q137" s="152" t="s">
        <v>1778</v>
      </c>
      <c r="R137" s="150">
        <v>1943430</v>
      </c>
      <c r="S137" s="146" t="s">
        <v>628</v>
      </c>
      <c r="T137" s="147" t="s">
        <v>634</v>
      </c>
      <c r="U137" s="148" t="s">
        <v>607</v>
      </c>
      <c r="V137" s="92"/>
      <c r="W137" s="92"/>
      <c r="X137" s="92"/>
      <c r="Y137" s="92"/>
      <c r="Z137" s="92"/>
    </row>
    <row r="138" spans="1:26" ht="15.75" hidden="1">
      <c r="A138" s="92"/>
      <c r="B138" s="92"/>
      <c r="C138" s="92"/>
      <c r="D138" s="92"/>
      <c r="E138" s="92"/>
      <c r="F138" s="92"/>
      <c r="G138" s="92"/>
      <c r="H138" s="92"/>
      <c r="I138" s="92"/>
      <c r="J138" s="92"/>
      <c r="K138" s="151">
        <f t="shared" si="13"/>
        <v>132</v>
      </c>
      <c r="L138" s="149" t="str">
        <f t="shared" si="14"/>
        <v>23665 SVEUČILIŠTE U ZAGREBU - SVEUČILIŠNI RAČUNSKI CENTAR - SRCE</v>
      </c>
      <c r="M138" s="149">
        <v>23665</v>
      </c>
      <c r="N138" s="152" t="s">
        <v>620</v>
      </c>
      <c r="O138" s="153" t="s">
        <v>493</v>
      </c>
      <c r="P138" s="158" t="s">
        <v>615</v>
      </c>
      <c r="Q138" s="152" t="s">
        <v>276</v>
      </c>
      <c r="R138" s="150">
        <v>3283020</v>
      </c>
      <c r="S138" s="146" t="s">
        <v>621</v>
      </c>
      <c r="T138" s="147" t="s">
        <v>634</v>
      </c>
      <c r="U138" s="148" t="s">
        <v>607</v>
      </c>
      <c r="V138" s="92"/>
      <c r="W138" s="92"/>
      <c r="X138" s="92"/>
      <c r="Y138" s="92"/>
      <c r="Z138" s="92"/>
    </row>
    <row r="139" spans="1:26" hidden="1">
      <c r="A139" s="92"/>
      <c r="B139" s="92"/>
      <c r="C139" s="92"/>
      <c r="D139" s="92"/>
      <c r="E139" s="92"/>
      <c r="F139" s="92"/>
      <c r="G139" s="92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</row>
    <row r="140" spans="1:26" hidden="1">
      <c r="A140" s="92"/>
      <c r="B140" s="92"/>
      <c r="C140" s="92"/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</row>
    <row r="141" spans="1:26" hidden="1">
      <c r="A141" s="92"/>
      <c r="B141" s="92"/>
      <c r="C141" s="92"/>
      <c r="D141" s="92"/>
      <c r="E141" s="92"/>
      <c r="F141" s="92"/>
      <c r="G141" s="92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92"/>
      <c r="W141" s="92"/>
      <c r="X141" s="92"/>
      <c r="Y141" s="92"/>
      <c r="Z141" s="92"/>
    </row>
    <row r="142" spans="1:26" hidden="1">
      <c r="A142" s="92"/>
      <c r="B142" s="92"/>
      <c r="C142" s="92"/>
      <c r="D142" s="92"/>
      <c r="E142" s="92"/>
      <c r="F142" s="92"/>
      <c r="G142" s="92"/>
      <c r="H142" s="92"/>
      <c r="I142" s="92"/>
      <c r="J142" s="92"/>
      <c r="K142" s="92"/>
      <c r="L142" s="92"/>
      <c r="M142" s="92"/>
      <c r="N142" s="92"/>
      <c r="O142" s="92"/>
      <c r="P142" s="92"/>
      <c r="Q142" s="92"/>
      <c r="R142" s="92"/>
      <c r="S142" s="92"/>
      <c r="T142" s="92"/>
      <c r="U142" s="92"/>
      <c r="V142" s="92"/>
      <c r="W142" s="92"/>
      <c r="X142" s="92"/>
      <c r="Y142" s="92"/>
      <c r="Z142" s="92"/>
    </row>
    <row r="143" spans="1:26" hidden="1">
      <c r="A143" s="92"/>
      <c r="B143" s="92"/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</row>
    <row r="144" spans="1:26" hidden="1">
      <c r="A144" s="92"/>
      <c r="B144" s="92"/>
      <c r="C144" s="92"/>
      <c r="D144" s="92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</row>
    <row r="145" spans="1:26" hidden="1">
      <c r="A145" s="92"/>
      <c r="B145" s="92"/>
      <c r="C145" s="92"/>
      <c r="D145" s="92"/>
      <c r="E145" s="92"/>
      <c r="F145" s="92"/>
      <c r="G145" s="92"/>
      <c r="H145" s="92"/>
      <c r="I145" s="92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92"/>
      <c r="X145" s="92"/>
      <c r="Y145" s="92"/>
      <c r="Z145" s="92"/>
    </row>
    <row r="146" spans="1:26" hidden="1">
      <c r="A146" s="92"/>
      <c r="B146" s="92"/>
      <c r="C146" s="92"/>
      <c r="D146" s="92"/>
      <c r="E146" s="92"/>
      <c r="F146" s="92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2"/>
    </row>
    <row r="147" spans="1:26" hidden="1">
      <c r="A147" s="92"/>
      <c r="B147" s="92"/>
      <c r="C147" s="92"/>
      <c r="D147" s="92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</row>
    <row r="148" spans="1:26" hidden="1">
      <c r="A148" s="92"/>
      <c r="B148" s="92"/>
      <c r="C148" s="92"/>
      <c r="D148" s="92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</row>
    <row r="149" spans="1:26" hidden="1">
      <c r="A149" s="92"/>
      <c r="B149" s="92"/>
      <c r="C149" s="92"/>
      <c r="D149" s="92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  <c r="Z149" s="92"/>
    </row>
    <row r="150" spans="1:26" hidden="1">
      <c r="A150" s="92"/>
      <c r="B150" s="92"/>
      <c r="C150" s="92"/>
      <c r="D150" s="92"/>
      <c r="E150" s="92"/>
      <c r="F150" s="92"/>
      <c r="G150" s="92"/>
      <c r="H150" s="92"/>
      <c r="I150" s="92"/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92"/>
      <c r="X150" s="92"/>
      <c r="Y150" s="92"/>
      <c r="Z150" s="92"/>
    </row>
    <row r="151" spans="1:26" hidden="1">
      <c r="A151" s="92"/>
      <c r="B151" s="92"/>
      <c r="C151" s="92"/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</row>
    <row r="152" spans="1:26" hidden="1">
      <c r="A152" s="92"/>
      <c r="B152" s="92"/>
      <c r="C152" s="92"/>
      <c r="D152" s="92"/>
      <c r="E152" s="92"/>
      <c r="F152" s="92"/>
      <c r="G152" s="92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</row>
    <row r="153" spans="1:26" hidden="1">
      <c r="A153" s="92"/>
      <c r="B153" s="92"/>
      <c r="C153" s="92"/>
      <c r="D153" s="92"/>
      <c r="E153" s="92"/>
      <c r="F153" s="92"/>
      <c r="G153" s="92"/>
      <c r="H153" s="92"/>
      <c r="I153" s="92"/>
      <c r="J153" s="92"/>
      <c r="K153" s="92"/>
      <c r="L153" s="92"/>
      <c r="M153" s="92"/>
      <c r="N153" s="92"/>
      <c r="O153" s="92"/>
      <c r="P153" s="92"/>
      <c r="Q153" s="92"/>
      <c r="R153" s="92"/>
      <c r="S153" s="92"/>
      <c r="T153" s="92"/>
      <c r="U153" s="92"/>
      <c r="V153" s="92"/>
      <c r="W153" s="92"/>
      <c r="X153" s="92"/>
      <c r="Y153" s="92"/>
      <c r="Z153" s="92"/>
    </row>
    <row r="154" spans="1:26" hidden="1">
      <c r="A154" s="92"/>
      <c r="B154" s="92"/>
      <c r="C154" s="92"/>
      <c r="D154" s="92"/>
      <c r="E154" s="92"/>
      <c r="F154" s="92"/>
      <c r="G154" s="92"/>
      <c r="H154" s="92"/>
      <c r="I154" s="92"/>
      <c r="J154" s="92"/>
      <c r="K154" s="92"/>
      <c r="L154" s="92"/>
      <c r="M154" s="92"/>
      <c r="N154" s="92"/>
      <c r="O154" s="92"/>
      <c r="P154" s="92"/>
      <c r="Q154" s="92"/>
      <c r="R154" s="92"/>
      <c r="S154" s="92"/>
      <c r="T154" s="92"/>
      <c r="U154" s="92"/>
      <c r="V154" s="92"/>
      <c r="W154" s="92"/>
      <c r="X154" s="92"/>
      <c r="Y154" s="92"/>
      <c r="Z154" s="92"/>
    </row>
    <row r="155" spans="1:26" hidden="1">
      <c r="A155" s="92"/>
      <c r="B155" s="92"/>
      <c r="C155" s="92"/>
      <c r="D155" s="92"/>
      <c r="E155" s="92"/>
      <c r="F155" s="92"/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</row>
    <row r="156" spans="1:26" hidden="1">
      <c r="A156" s="92"/>
      <c r="B156" s="92"/>
      <c r="C156" s="92"/>
      <c r="D156" s="92"/>
      <c r="E156" s="92"/>
      <c r="F156" s="92"/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</row>
    <row r="157" spans="1:26" hidden="1">
      <c r="A157" s="92"/>
      <c r="B157" s="92"/>
      <c r="C157" s="92"/>
      <c r="D157" s="92"/>
      <c r="E157" s="92"/>
      <c r="F157" s="92"/>
      <c r="G157" s="92"/>
      <c r="H157" s="92"/>
      <c r="I157" s="92"/>
      <c r="J157" s="92"/>
      <c r="K157" s="92"/>
      <c r="L157" s="92"/>
      <c r="M157" s="92"/>
      <c r="N157" s="92"/>
      <c r="O157" s="92"/>
      <c r="P157" s="92"/>
      <c r="Q157" s="92"/>
      <c r="R157" s="92"/>
      <c r="S157" s="92"/>
      <c r="T157" s="92"/>
      <c r="U157" s="92"/>
      <c r="V157" s="92"/>
      <c r="W157" s="92"/>
      <c r="X157" s="92"/>
      <c r="Y157" s="92"/>
      <c r="Z157" s="92"/>
    </row>
    <row r="158" spans="1:26" hidden="1">
      <c r="A158" s="92"/>
      <c r="B158" s="92"/>
      <c r="C158" s="92"/>
      <c r="D158" s="92"/>
      <c r="E158" s="92"/>
      <c r="F158" s="92"/>
      <c r="G158" s="92"/>
      <c r="H158" s="92"/>
      <c r="I158" s="92"/>
      <c r="J158" s="92"/>
      <c r="K158" s="92"/>
      <c r="L158" s="92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92"/>
      <c r="Z158" s="92"/>
    </row>
    <row r="159" spans="1:26" hidden="1">
      <c r="A159" s="92"/>
      <c r="B159" s="92"/>
      <c r="C159" s="92"/>
      <c r="D159" s="92"/>
      <c r="E159" s="92"/>
      <c r="F159" s="92"/>
      <c r="G159" s="92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</row>
    <row r="160" spans="1:26" hidden="1">
      <c r="A160" s="92"/>
      <c r="B160" s="92"/>
      <c r="C160" s="92"/>
      <c r="D160" s="92"/>
      <c r="E160" s="92"/>
      <c r="F160" s="92"/>
      <c r="G160" s="92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</row>
    <row r="161" spans="1:26" hidden="1">
      <c r="A161" s="92"/>
      <c r="B161" s="92"/>
      <c r="C161" s="92"/>
      <c r="D161" s="92"/>
      <c r="E161" s="92"/>
      <c r="F161" s="92"/>
      <c r="G161" s="92"/>
      <c r="H161" s="92"/>
      <c r="I161" s="92"/>
      <c r="J161" s="92"/>
      <c r="K161" s="92"/>
      <c r="L161" s="92"/>
      <c r="M161" s="92"/>
      <c r="N161" s="92"/>
      <c r="O161" s="92"/>
      <c r="P161" s="92"/>
      <c r="Q161" s="92"/>
      <c r="R161" s="92"/>
      <c r="S161" s="92"/>
      <c r="T161" s="92"/>
      <c r="U161" s="92"/>
      <c r="V161" s="92"/>
      <c r="W161" s="92"/>
      <c r="X161" s="92"/>
      <c r="Y161" s="92"/>
      <c r="Z161" s="92"/>
    </row>
    <row r="162" spans="1:26" hidden="1">
      <c r="A162" s="92"/>
      <c r="B162" s="92"/>
      <c r="C162" s="92"/>
      <c r="D162" s="92"/>
      <c r="E162" s="92"/>
      <c r="F162" s="92"/>
      <c r="G162" s="92"/>
      <c r="H162" s="92"/>
      <c r="I162" s="92"/>
      <c r="J162" s="92"/>
      <c r="K162" s="92"/>
      <c r="L162" s="92"/>
      <c r="M162" s="92"/>
      <c r="N162" s="92"/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92"/>
      <c r="Z162" s="92"/>
    </row>
    <row r="163" spans="1:26" hidden="1">
      <c r="A163" s="92"/>
      <c r="B163" s="92"/>
      <c r="C163" s="92"/>
      <c r="D163" s="92"/>
      <c r="E163" s="92"/>
      <c r="F163" s="92"/>
      <c r="G163" s="92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</row>
    <row r="164" spans="1:26" hidden="1">
      <c r="A164" s="92"/>
      <c r="B164" s="92"/>
      <c r="C164" s="92"/>
      <c r="D164" s="92"/>
      <c r="E164" s="92"/>
      <c r="F164" s="92"/>
      <c r="G164" s="92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</row>
    <row r="165" spans="1:26" hidden="1">
      <c r="A165" s="92"/>
      <c r="B165" s="92"/>
      <c r="C165" s="92"/>
      <c r="D165" s="92"/>
      <c r="E165" s="92"/>
      <c r="F165" s="92"/>
      <c r="G165" s="92"/>
      <c r="H165" s="92"/>
      <c r="I165" s="92"/>
      <c r="J165" s="92"/>
      <c r="K165" s="92"/>
      <c r="L165" s="92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  <c r="X165" s="92"/>
      <c r="Y165" s="92"/>
      <c r="Z165" s="92"/>
    </row>
    <row r="166" spans="1:26" hidden="1">
      <c r="A166" s="92"/>
      <c r="B166" s="92"/>
      <c r="C166" s="92"/>
      <c r="D166" s="92"/>
      <c r="E166" s="92"/>
      <c r="F166" s="92"/>
      <c r="G166" s="92"/>
      <c r="H166" s="92"/>
      <c r="I166" s="92"/>
      <c r="J166" s="92"/>
      <c r="K166" s="92"/>
      <c r="L166" s="92"/>
      <c r="M166" s="92"/>
      <c r="N166" s="92"/>
      <c r="O166" s="92"/>
      <c r="P166" s="92"/>
      <c r="Q166" s="92"/>
      <c r="R166" s="92"/>
      <c r="S166" s="92"/>
      <c r="T166" s="92"/>
      <c r="U166" s="92"/>
      <c r="V166" s="92"/>
      <c r="W166" s="92"/>
      <c r="X166" s="92"/>
      <c r="Y166" s="92"/>
      <c r="Z166" s="92"/>
    </row>
    <row r="167" spans="1:26" hidden="1">
      <c r="A167" s="92"/>
      <c r="B167" s="92"/>
      <c r="C167" s="92"/>
      <c r="D167" s="92"/>
      <c r="E167" s="92"/>
      <c r="F167" s="92"/>
      <c r="G167" s="92"/>
      <c r="H167" s="92"/>
      <c r="I167" s="92"/>
      <c r="J167" s="92"/>
      <c r="K167" s="92"/>
      <c r="L167" s="92"/>
      <c r="M167" s="92"/>
      <c r="N167" s="92"/>
      <c r="O167" s="92"/>
      <c r="P167" s="92"/>
      <c r="Q167" s="92"/>
      <c r="R167" s="92"/>
      <c r="S167" s="92"/>
      <c r="T167" s="92"/>
      <c r="U167" s="92"/>
      <c r="V167" s="92"/>
      <c r="W167" s="92"/>
      <c r="X167" s="92"/>
      <c r="Y167" s="92"/>
      <c r="Z167" s="92"/>
    </row>
    <row r="168" spans="1:26" hidden="1">
      <c r="A168" s="92"/>
      <c r="B168" s="92"/>
      <c r="C168" s="92"/>
      <c r="D168" s="92"/>
      <c r="E168" s="92"/>
      <c r="F168" s="92"/>
      <c r="G168" s="92"/>
      <c r="H168" s="92"/>
      <c r="I168" s="92"/>
      <c r="J168" s="92"/>
      <c r="K168" s="92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2"/>
      <c r="Z168" s="92"/>
    </row>
    <row r="169" spans="1:26" hidden="1">
      <c r="A169" s="92"/>
      <c r="B169" s="92"/>
      <c r="C169" s="92"/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2"/>
      <c r="P169" s="92"/>
      <c r="Q169" s="92"/>
      <c r="R169" s="92"/>
      <c r="S169" s="92"/>
      <c r="T169" s="92"/>
      <c r="U169" s="92"/>
      <c r="V169" s="92"/>
      <c r="W169" s="92"/>
      <c r="X169" s="92"/>
      <c r="Y169" s="92"/>
      <c r="Z169" s="92"/>
    </row>
    <row r="170" spans="1:26" hidden="1">
      <c r="A170" s="92"/>
      <c r="B170" s="92"/>
      <c r="C170" s="92"/>
      <c r="D170" s="92"/>
      <c r="E170" s="92"/>
      <c r="F170" s="92"/>
      <c r="G170" s="92"/>
      <c r="H170" s="92"/>
      <c r="I170" s="92"/>
      <c r="J170" s="92"/>
      <c r="K170" s="92"/>
      <c r="L170" s="92"/>
      <c r="M170" s="92"/>
      <c r="N170" s="92"/>
      <c r="O170" s="92"/>
      <c r="P170" s="92"/>
      <c r="Q170" s="92"/>
      <c r="R170" s="92"/>
      <c r="S170" s="92"/>
      <c r="T170" s="92"/>
      <c r="U170" s="92"/>
      <c r="V170" s="92"/>
      <c r="W170" s="92"/>
      <c r="X170" s="92"/>
      <c r="Y170" s="92"/>
      <c r="Z170" s="92"/>
    </row>
    <row r="171" spans="1:26" hidden="1">
      <c r="A171" s="92"/>
      <c r="B171" s="92"/>
      <c r="C171" s="92"/>
      <c r="D171" s="92"/>
      <c r="E171" s="92"/>
      <c r="F171" s="92"/>
      <c r="G171" s="92"/>
      <c r="H171" s="92"/>
      <c r="I171" s="92"/>
      <c r="J171" s="92"/>
      <c r="K171" s="92"/>
      <c r="L171" s="92"/>
      <c r="M171" s="92"/>
      <c r="N171" s="92"/>
      <c r="O171" s="92"/>
      <c r="P171" s="92"/>
      <c r="Q171" s="92"/>
      <c r="R171" s="92"/>
      <c r="S171" s="92"/>
      <c r="T171" s="92"/>
      <c r="U171" s="92"/>
      <c r="V171" s="92"/>
      <c r="W171" s="92"/>
      <c r="X171" s="92"/>
      <c r="Y171" s="92"/>
      <c r="Z171" s="92"/>
    </row>
    <row r="172" spans="1:26" hidden="1">
      <c r="A172" s="92"/>
      <c r="B172" s="92"/>
      <c r="C172" s="92"/>
      <c r="D172" s="92"/>
      <c r="E172" s="92"/>
      <c r="F172" s="92"/>
      <c r="G172" s="92"/>
      <c r="H172" s="92"/>
      <c r="I172" s="92"/>
      <c r="J172" s="92"/>
      <c r="K172" s="92"/>
      <c r="L172" s="92"/>
      <c r="M172" s="92"/>
      <c r="N172" s="92"/>
      <c r="O172" s="92"/>
      <c r="P172" s="92"/>
      <c r="Q172" s="92"/>
      <c r="R172" s="92"/>
      <c r="S172" s="92"/>
      <c r="T172" s="92"/>
      <c r="U172" s="92"/>
      <c r="V172" s="92"/>
      <c r="W172" s="92"/>
      <c r="X172" s="92"/>
      <c r="Y172" s="92"/>
      <c r="Z172" s="92"/>
    </row>
    <row r="173" spans="1:26" hidden="1">
      <c r="A173" s="92"/>
      <c r="B173" s="92"/>
      <c r="C173" s="92"/>
      <c r="D173" s="92"/>
      <c r="E173" s="92"/>
      <c r="F173" s="92"/>
      <c r="G173" s="92"/>
      <c r="H173" s="92"/>
      <c r="I173" s="92"/>
      <c r="J173" s="92"/>
      <c r="K173" s="92"/>
      <c r="L173" s="92"/>
      <c r="M173" s="92"/>
      <c r="N173" s="92"/>
      <c r="O173" s="92"/>
      <c r="P173" s="92"/>
      <c r="Q173" s="92"/>
      <c r="R173" s="92"/>
      <c r="S173" s="92"/>
      <c r="T173" s="92"/>
      <c r="U173" s="92"/>
      <c r="V173" s="92"/>
      <c r="W173" s="92"/>
      <c r="X173" s="92"/>
      <c r="Y173" s="92"/>
      <c r="Z173" s="92"/>
    </row>
    <row r="174" spans="1:26" hidden="1">
      <c r="A174" s="92"/>
      <c r="B174" s="92"/>
      <c r="C174" s="92"/>
      <c r="D174" s="92"/>
      <c r="E174" s="92"/>
      <c r="F174" s="92"/>
      <c r="G174" s="92"/>
      <c r="H174" s="92"/>
      <c r="I174" s="92"/>
      <c r="J174" s="92"/>
      <c r="K174" s="92"/>
      <c r="L174" s="92"/>
      <c r="M174" s="92"/>
      <c r="N174" s="92"/>
      <c r="O174" s="92"/>
      <c r="P174" s="92"/>
      <c r="Q174" s="92"/>
      <c r="R174" s="92"/>
      <c r="S174" s="92"/>
      <c r="T174" s="92"/>
      <c r="U174" s="92"/>
      <c r="V174" s="92"/>
      <c r="W174" s="92"/>
      <c r="X174" s="92"/>
      <c r="Y174" s="92"/>
      <c r="Z174" s="92"/>
    </row>
    <row r="175" spans="1:26" hidden="1">
      <c r="A175" s="92"/>
      <c r="B175" s="92"/>
      <c r="C175" s="92"/>
      <c r="D175" s="92"/>
      <c r="E175" s="92"/>
      <c r="F175" s="92"/>
      <c r="G175" s="92"/>
      <c r="H175" s="92"/>
      <c r="I175" s="92"/>
      <c r="J175" s="92"/>
      <c r="K175" s="92"/>
      <c r="L175" s="92"/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2"/>
    </row>
    <row r="176" spans="1:26" hidden="1">
      <c r="A176" s="92"/>
      <c r="B176" s="92"/>
      <c r="C176" s="92"/>
      <c r="D176" s="92"/>
      <c r="E176" s="92"/>
      <c r="F176" s="92"/>
      <c r="G176" s="92"/>
      <c r="H176" s="92"/>
      <c r="I176" s="92"/>
      <c r="J176" s="92"/>
      <c r="K176" s="92"/>
      <c r="L176" s="92"/>
      <c r="M176" s="92"/>
      <c r="N176" s="92"/>
      <c r="O176" s="92"/>
      <c r="P176" s="92"/>
      <c r="Q176" s="92"/>
      <c r="R176" s="92"/>
      <c r="S176" s="92"/>
      <c r="T176" s="92"/>
      <c r="U176" s="92"/>
      <c r="V176" s="92"/>
      <c r="W176" s="92"/>
      <c r="X176" s="92"/>
      <c r="Y176" s="92"/>
      <c r="Z176" s="92"/>
    </row>
    <row r="177" spans="1:26" hidden="1">
      <c r="A177" s="92"/>
      <c r="B177" s="92"/>
      <c r="C177" s="92"/>
      <c r="D177" s="92"/>
      <c r="E177" s="92"/>
      <c r="F177" s="92"/>
      <c r="G177" s="92"/>
      <c r="H177" s="92"/>
      <c r="I177" s="92"/>
      <c r="J177" s="92"/>
      <c r="K177" s="92"/>
      <c r="L177" s="92"/>
      <c r="M177" s="92"/>
      <c r="N177" s="92"/>
      <c r="O177" s="92"/>
      <c r="P177" s="92"/>
      <c r="Q177" s="92"/>
      <c r="R177" s="92"/>
      <c r="S177" s="92"/>
      <c r="T177" s="92"/>
      <c r="U177" s="92"/>
      <c r="V177" s="92"/>
      <c r="W177" s="92"/>
      <c r="X177" s="92"/>
      <c r="Y177" s="92"/>
      <c r="Z177" s="92"/>
    </row>
    <row r="178" spans="1:26" hidden="1">
      <c r="A178" s="92"/>
      <c r="B178" s="92"/>
      <c r="C178" s="92"/>
      <c r="D178" s="92"/>
      <c r="E178" s="92"/>
      <c r="F178" s="92"/>
      <c r="G178" s="92"/>
      <c r="H178" s="92"/>
      <c r="I178" s="92"/>
      <c r="J178" s="92"/>
      <c r="K178" s="92"/>
      <c r="L178" s="92"/>
      <c r="M178" s="92"/>
      <c r="N178" s="92"/>
      <c r="O178" s="92"/>
      <c r="P178" s="92"/>
      <c r="Q178" s="92"/>
      <c r="R178" s="92"/>
      <c r="S178" s="92"/>
      <c r="T178" s="92"/>
      <c r="U178" s="92"/>
      <c r="V178" s="92"/>
      <c r="W178" s="92"/>
      <c r="X178" s="92"/>
      <c r="Y178" s="92"/>
      <c r="Z178" s="92"/>
    </row>
    <row r="179" spans="1:26" hidden="1">
      <c r="A179" s="92"/>
      <c r="B179" s="92"/>
      <c r="C179" s="92"/>
      <c r="D179" s="92"/>
      <c r="E179" s="92"/>
      <c r="F179" s="92"/>
      <c r="G179" s="92"/>
      <c r="H179" s="92"/>
      <c r="I179" s="92"/>
      <c r="J179" s="92"/>
      <c r="K179" s="92"/>
      <c r="L179" s="92"/>
      <c r="M179" s="92"/>
      <c r="N179" s="92"/>
      <c r="O179" s="92"/>
      <c r="P179" s="92"/>
      <c r="Q179" s="92"/>
      <c r="R179" s="92"/>
      <c r="S179" s="92"/>
      <c r="T179" s="92"/>
      <c r="U179" s="92"/>
      <c r="V179" s="92"/>
      <c r="W179" s="92"/>
      <c r="X179" s="92"/>
      <c r="Y179" s="92"/>
      <c r="Z179" s="92"/>
    </row>
    <row r="180" spans="1:26" hidden="1">
      <c r="A180" s="92"/>
      <c r="B180" s="92"/>
      <c r="C180" s="92"/>
      <c r="D180" s="92"/>
      <c r="E180" s="92"/>
      <c r="F180" s="92"/>
      <c r="G180" s="92"/>
      <c r="H180" s="92"/>
      <c r="I180" s="92"/>
      <c r="J180" s="92"/>
      <c r="K180" s="92"/>
      <c r="L180" s="92"/>
      <c r="M180" s="92"/>
      <c r="N180" s="92"/>
      <c r="O180" s="92"/>
      <c r="P180" s="92"/>
      <c r="Q180" s="92"/>
      <c r="R180" s="92"/>
      <c r="S180" s="92"/>
      <c r="T180" s="92"/>
      <c r="U180" s="92"/>
      <c r="V180" s="92"/>
      <c r="W180" s="92"/>
      <c r="X180" s="92"/>
      <c r="Y180" s="92"/>
      <c r="Z180" s="92"/>
    </row>
    <row r="181" spans="1:26" hidden="1">
      <c r="A181" s="92"/>
      <c r="B181" s="92"/>
      <c r="C181" s="92"/>
      <c r="D181" s="92"/>
      <c r="E181" s="92"/>
      <c r="F181" s="92"/>
      <c r="G181" s="92"/>
      <c r="H181" s="92"/>
      <c r="I181" s="92"/>
      <c r="J181" s="92"/>
      <c r="K181" s="92"/>
      <c r="L181" s="92"/>
      <c r="M181" s="92"/>
      <c r="N181" s="92"/>
      <c r="O181" s="92"/>
      <c r="P181" s="92"/>
      <c r="Q181" s="92"/>
      <c r="R181" s="92"/>
      <c r="S181" s="92"/>
      <c r="T181" s="92"/>
      <c r="U181" s="92"/>
      <c r="V181" s="92"/>
      <c r="W181" s="92"/>
      <c r="X181" s="92"/>
      <c r="Y181" s="92"/>
      <c r="Z181" s="92"/>
    </row>
    <row r="182" spans="1:26" hidden="1">
      <c r="A182" s="92"/>
      <c r="B182" s="92"/>
      <c r="C182" s="92"/>
      <c r="D182" s="92"/>
      <c r="E182" s="92"/>
      <c r="F182" s="92"/>
      <c r="G182" s="92"/>
      <c r="H182" s="92"/>
      <c r="I182" s="92"/>
      <c r="J182" s="92"/>
      <c r="K182" s="92"/>
      <c r="L182" s="92"/>
      <c r="M182" s="92"/>
      <c r="N182" s="92"/>
      <c r="O182" s="92"/>
      <c r="P182" s="92"/>
      <c r="Q182" s="92"/>
      <c r="R182" s="92"/>
      <c r="S182" s="92"/>
      <c r="T182" s="92"/>
      <c r="U182" s="92"/>
      <c r="V182" s="92"/>
      <c r="W182" s="92"/>
      <c r="X182" s="92"/>
      <c r="Y182" s="92"/>
      <c r="Z182" s="92"/>
    </row>
    <row r="183" spans="1:26" hidden="1">
      <c r="A183" s="92"/>
      <c r="B183" s="92"/>
      <c r="C183" s="92"/>
      <c r="D183" s="92"/>
      <c r="E183" s="92"/>
      <c r="F183" s="92"/>
      <c r="G183" s="92"/>
      <c r="H183" s="92"/>
      <c r="I183" s="92"/>
      <c r="J183" s="92"/>
      <c r="K183" s="92"/>
      <c r="L183" s="92"/>
      <c r="M183" s="92"/>
      <c r="N183" s="92"/>
      <c r="O183" s="92"/>
      <c r="P183" s="92"/>
      <c r="Q183" s="92"/>
      <c r="R183" s="92"/>
      <c r="S183" s="92"/>
      <c r="T183" s="92"/>
      <c r="U183" s="92"/>
      <c r="V183" s="92"/>
      <c r="W183" s="92"/>
      <c r="X183" s="92"/>
      <c r="Y183" s="92"/>
      <c r="Z183" s="92"/>
    </row>
    <row r="184" spans="1:26" hidden="1">
      <c r="A184" s="92"/>
      <c r="B184" s="92"/>
      <c r="C184" s="92"/>
      <c r="D184" s="92"/>
      <c r="E184" s="92"/>
      <c r="F184" s="92"/>
      <c r="G184" s="92"/>
      <c r="H184" s="92"/>
      <c r="I184" s="92"/>
      <c r="J184" s="92"/>
      <c r="K184" s="92"/>
      <c r="L184" s="92"/>
      <c r="M184" s="92"/>
      <c r="N184" s="92"/>
      <c r="O184" s="92"/>
      <c r="P184" s="92"/>
      <c r="Q184" s="92"/>
      <c r="R184" s="92"/>
      <c r="S184" s="92"/>
      <c r="T184" s="92"/>
      <c r="U184" s="92"/>
      <c r="V184" s="92"/>
      <c r="W184" s="92"/>
      <c r="X184" s="92"/>
      <c r="Y184" s="92"/>
      <c r="Z184" s="92"/>
    </row>
    <row r="185" spans="1:26" hidden="1">
      <c r="A185" s="92"/>
      <c r="B185" s="92"/>
      <c r="C185" s="92"/>
      <c r="D185" s="92"/>
      <c r="E185" s="92"/>
      <c r="F185" s="92"/>
      <c r="G185" s="92"/>
      <c r="H185" s="92"/>
      <c r="I185" s="92"/>
      <c r="J185" s="92"/>
      <c r="K185" s="92"/>
      <c r="L185" s="92"/>
      <c r="M185" s="92"/>
      <c r="N185" s="92"/>
      <c r="O185" s="92"/>
      <c r="P185" s="92"/>
      <c r="Q185" s="92"/>
      <c r="R185" s="92"/>
      <c r="S185" s="92"/>
      <c r="T185" s="92"/>
      <c r="U185" s="92"/>
      <c r="V185" s="92"/>
      <c r="W185" s="92"/>
      <c r="X185" s="92"/>
      <c r="Y185" s="92"/>
      <c r="Z185" s="92"/>
    </row>
    <row r="186" spans="1:26" hidden="1">
      <c r="A186" s="92"/>
      <c r="B186" s="92"/>
      <c r="C186" s="92"/>
      <c r="D186" s="92"/>
      <c r="E186" s="92"/>
      <c r="F186" s="92"/>
      <c r="G186" s="92"/>
      <c r="H186" s="92"/>
      <c r="I186" s="92"/>
      <c r="J186" s="92"/>
      <c r="K186" s="92"/>
      <c r="L186" s="92"/>
      <c r="M186" s="92"/>
      <c r="N186" s="92"/>
      <c r="O186" s="92"/>
      <c r="P186" s="92"/>
      <c r="Q186" s="92"/>
      <c r="R186" s="92"/>
      <c r="S186" s="92"/>
      <c r="T186" s="92"/>
      <c r="U186" s="92"/>
      <c r="V186" s="92"/>
      <c r="W186" s="92"/>
      <c r="X186" s="92"/>
      <c r="Y186" s="92"/>
      <c r="Z186" s="92"/>
    </row>
    <row r="187" spans="1:26" hidden="1">
      <c r="A187" s="92"/>
      <c r="B187" s="92"/>
      <c r="C187" s="92"/>
      <c r="D187" s="92"/>
      <c r="E187" s="92"/>
      <c r="F187" s="92"/>
      <c r="G187" s="92"/>
      <c r="H187" s="92"/>
      <c r="I187" s="92"/>
      <c r="J187" s="92"/>
      <c r="K187" s="92"/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2"/>
      <c r="W187" s="92"/>
      <c r="X187" s="92"/>
      <c r="Y187" s="92"/>
      <c r="Z187" s="92"/>
    </row>
    <row r="188" spans="1:26" hidden="1">
      <c r="A188" s="92"/>
      <c r="B188" s="92"/>
      <c r="C188" s="92"/>
      <c r="D188" s="92"/>
      <c r="E188" s="92"/>
      <c r="F188" s="92"/>
      <c r="G188" s="92"/>
      <c r="H188" s="92"/>
      <c r="I188" s="92"/>
      <c r="J188" s="92"/>
      <c r="K188" s="92"/>
      <c r="L188" s="92"/>
      <c r="M188" s="92"/>
      <c r="N188" s="92"/>
      <c r="O188" s="92"/>
      <c r="P188" s="92"/>
      <c r="Q188" s="92"/>
      <c r="R188" s="92"/>
      <c r="S188" s="92"/>
      <c r="T188" s="92"/>
      <c r="U188" s="92"/>
      <c r="V188" s="92"/>
      <c r="W188" s="92"/>
      <c r="X188" s="92"/>
      <c r="Y188" s="92"/>
      <c r="Z188" s="92"/>
    </row>
    <row r="189" spans="1:26" hidden="1">
      <c r="A189" s="92"/>
      <c r="B189" s="92"/>
      <c r="C189" s="92"/>
      <c r="D189" s="92"/>
      <c r="E189" s="92"/>
      <c r="F189" s="92"/>
      <c r="G189" s="92"/>
      <c r="H189" s="92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92"/>
      <c r="T189" s="92"/>
      <c r="U189" s="92"/>
      <c r="V189" s="92"/>
      <c r="W189" s="92"/>
      <c r="X189" s="92"/>
      <c r="Y189" s="92"/>
      <c r="Z189" s="92"/>
    </row>
    <row r="190" spans="1:26" hidden="1">
      <c r="A190" s="92"/>
      <c r="B190" s="92"/>
      <c r="C190" s="92"/>
      <c r="D190" s="92"/>
      <c r="E190" s="92"/>
      <c r="F190" s="92"/>
      <c r="G190" s="92"/>
      <c r="H190" s="92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92"/>
      <c r="T190" s="92"/>
      <c r="U190" s="92"/>
      <c r="V190" s="92"/>
      <c r="W190" s="92"/>
      <c r="X190" s="92"/>
      <c r="Y190" s="92"/>
      <c r="Z190" s="92"/>
    </row>
    <row r="191" spans="1:26" hidden="1">
      <c r="A191" s="92"/>
      <c r="B191" s="92"/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92"/>
      <c r="T191" s="92"/>
      <c r="U191" s="92"/>
      <c r="V191" s="92"/>
      <c r="W191" s="92"/>
      <c r="X191" s="92"/>
      <c r="Y191" s="92"/>
      <c r="Z191" s="92"/>
    </row>
    <row r="192" spans="1:26" hidden="1">
      <c r="A192" s="92"/>
      <c r="B192" s="92"/>
      <c r="C192" s="92"/>
      <c r="D192" s="92"/>
      <c r="E192" s="92"/>
      <c r="F192" s="92"/>
      <c r="G192" s="92"/>
      <c r="H192" s="92"/>
      <c r="I192" s="92"/>
      <c r="J192" s="92"/>
      <c r="K192" s="92"/>
      <c r="L192" s="92"/>
      <c r="M192" s="92"/>
      <c r="N192" s="92"/>
      <c r="O192" s="92"/>
      <c r="P192" s="92"/>
      <c r="Q192" s="92"/>
      <c r="R192" s="92"/>
      <c r="S192" s="92"/>
      <c r="T192" s="92"/>
      <c r="U192" s="92"/>
      <c r="V192" s="92"/>
      <c r="W192" s="92"/>
      <c r="X192" s="92"/>
      <c r="Y192" s="92"/>
      <c r="Z192" s="92"/>
    </row>
    <row r="193" spans="1:26" hidden="1">
      <c r="A193" s="92"/>
      <c r="B193" s="92"/>
      <c r="C193" s="92"/>
      <c r="D193" s="92"/>
      <c r="E193" s="92"/>
      <c r="F193" s="92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</row>
    <row r="194" spans="1:26" hidden="1">
      <c r="A194" s="92"/>
      <c r="B194" s="92"/>
      <c r="C194" s="92"/>
      <c r="D194" s="92"/>
      <c r="E194" s="92"/>
      <c r="F194" s="92"/>
      <c r="G194" s="92"/>
      <c r="H194" s="92"/>
      <c r="I194" s="92"/>
      <c r="J194" s="92"/>
      <c r="K194" s="92"/>
      <c r="L194" s="92"/>
      <c r="M194" s="92"/>
      <c r="N194" s="92"/>
      <c r="O194" s="92"/>
      <c r="P194" s="92"/>
      <c r="Q194" s="92"/>
      <c r="R194" s="92"/>
      <c r="S194" s="92"/>
      <c r="T194" s="92"/>
      <c r="U194" s="92"/>
      <c r="V194" s="92"/>
      <c r="W194" s="92"/>
      <c r="X194" s="92"/>
      <c r="Y194" s="92"/>
      <c r="Z194" s="92"/>
    </row>
    <row r="195" spans="1:26" hidden="1">
      <c r="A195" s="92"/>
      <c r="B195" s="92"/>
      <c r="C195" s="92"/>
      <c r="D195" s="92"/>
      <c r="E195" s="92"/>
      <c r="F195" s="92"/>
      <c r="G195" s="92"/>
      <c r="H195" s="92"/>
      <c r="I195" s="92"/>
      <c r="J195" s="92"/>
      <c r="K195" s="92"/>
      <c r="L195" s="92"/>
      <c r="M195" s="92"/>
      <c r="N195" s="92"/>
      <c r="O195" s="92"/>
      <c r="P195" s="92"/>
      <c r="Q195" s="92"/>
      <c r="R195" s="92"/>
      <c r="S195" s="92"/>
      <c r="T195" s="92"/>
      <c r="U195" s="92"/>
      <c r="V195" s="92"/>
      <c r="W195" s="92"/>
      <c r="X195" s="92"/>
      <c r="Y195" s="92"/>
      <c r="Z195" s="92"/>
    </row>
    <row r="196" spans="1:26" hidden="1">
      <c r="A196" s="92"/>
      <c r="B196" s="92"/>
      <c r="C196" s="92"/>
      <c r="D196" s="92"/>
      <c r="E196" s="92"/>
      <c r="F196" s="92"/>
      <c r="G196" s="92"/>
      <c r="H196" s="92"/>
      <c r="I196" s="92"/>
      <c r="J196" s="92"/>
      <c r="K196" s="92"/>
      <c r="L196" s="92"/>
      <c r="M196" s="92"/>
      <c r="N196" s="92"/>
      <c r="O196" s="92"/>
      <c r="P196" s="92"/>
      <c r="Q196" s="92"/>
      <c r="R196" s="92"/>
      <c r="S196" s="92"/>
      <c r="T196" s="92"/>
      <c r="U196" s="92"/>
      <c r="V196" s="92"/>
      <c r="W196" s="92"/>
      <c r="X196" s="92"/>
      <c r="Y196" s="92"/>
      <c r="Z196" s="92"/>
    </row>
    <row r="197" spans="1:26" hidden="1">
      <c r="A197" s="92"/>
      <c r="B197" s="92"/>
      <c r="C197" s="92"/>
      <c r="D197" s="92"/>
      <c r="E197" s="92"/>
      <c r="F197" s="92"/>
      <c r="G197" s="92"/>
      <c r="H197" s="92"/>
      <c r="I197" s="92"/>
      <c r="J197" s="92"/>
      <c r="K197" s="92"/>
      <c r="L197" s="92"/>
      <c r="M197" s="92"/>
      <c r="N197" s="92"/>
      <c r="O197" s="92"/>
      <c r="P197" s="92"/>
      <c r="Q197" s="92"/>
      <c r="R197" s="92"/>
      <c r="S197" s="92"/>
      <c r="T197" s="92"/>
      <c r="U197" s="92"/>
      <c r="V197" s="92"/>
      <c r="W197" s="92"/>
      <c r="X197" s="92"/>
      <c r="Y197" s="92"/>
      <c r="Z197" s="92"/>
    </row>
    <row r="198" spans="1:26" hidden="1">
      <c r="A198" s="92"/>
      <c r="B198" s="92"/>
      <c r="C198" s="92"/>
      <c r="D198" s="92"/>
      <c r="E198" s="92"/>
      <c r="F198" s="92"/>
      <c r="G198" s="92"/>
      <c r="H198" s="92"/>
      <c r="I198" s="92"/>
      <c r="J198" s="92"/>
      <c r="K198" s="92"/>
      <c r="L198" s="92"/>
      <c r="M198" s="92"/>
      <c r="N198" s="92"/>
      <c r="O198" s="92"/>
      <c r="P198" s="92"/>
      <c r="Q198" s="92"/>
      <c r="R198" s="92"/>
      <c r="S198" s="92"/>
      <c r="T198" s="92"/>
      <c r="U198" s="92"/>
      <c r="V198" s="92"/>
      <c r="W198" s="92"/>
      <c r="X198" s="92"/>
      <c r="Y198" s="92"/>
      <c r="Z198" s="92"/>
    </row>
    <row r="199" spans="1:26" hidden="1">
      <c r="A199" s="92"/>
      <c r="B199" s="92"/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</row>
    <row r="200" spans="1:26" hidden="1">
      <c r="A200" s="92"/>
      <c r="B200" s="92"/>
      <c r="C200" s="92"/>
      <c r="D200" s="92"/>
      <c r="E200" s="92"/>
      <c r="F200" s="92"/>
      <c r="G200" s="92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92"/>
      <c r="T200" s="92"/>
      <c r="U200" s="92"/>
      <c r="V200" s="92"/>
      <c r="W200" s="92"/>
      <c r="X200" s="92"/>
      <c r="Y200" s="92"/>
      <c r="Z200" s="92"/>
    </row>
    <row r="201" spans="1:26" hidden="1">
      <c r="A201" s="92"/>
      <c r="B201" s="92"/>
      <c r="C201" s="92"/>
      <c r="D201" s="92"/>
      <c r="E201" s="92"/>
      <c r="F201" s="92"/>
      <c r="G201" s="92"/>
      <c r="H201" s="92"/>
      <c r="I201" s="92"/>
      <c r="J201" s="92"/>
      <c r="K201" s="92"/>
      <c r="L201" s="92"/>
      <c r="M201" s="92"/>
      <c r="N201" s="92"/>
      <c r="O201" s="92"/>
      <c r="P201" s="92"/>
      <c r="Q201" s="92"/>
      <c r="R201" s="92"/>
      <c r="S201" s="92"/>
      <c r="T201" s="92"/>
      <c r="U201" s="92"/>
      <c r="V201" s="92"/>
      <c r="W201" s="92"/>
      <c r="X201" s="92"/>
      <c r="Y201" s="92"/>
      <c r="Z201" s="92"/>
    </row>
    <row r="202" spans="1:26" hidden="1">
      <c r="A202" s="92"/>
      <c r="B202" s="92"/>
      <c r="C202" s="92"/>
      <c r="D202" s="92"/>
      <c r="E202" s="92"/>
      <c r="F202" s="92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</row>
    <row r="203" spans="1:26" hidden="1">
      <c r="A203" s="92"/>
      <c r="B203" s="92"/>
      <c r="C203" s="92"/>
      <c r="D203" s="92"/>
      <c r="E203" s="92"/>
      <c r="F203" s="92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</row>
    <row r="204" spans="1:26" hidden="1">
      <c r="A204" s="92"/>
      <c r="B204" s="92"/>
      <c r="C204" s="92"/>
      <c r="D204" s="92"/>
      <c r="E204" s="92"/>
      <c r="F204" s="92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</row>
    <row r="205" spans="1:26" hidden="1">
      <c r="A205" s="92"/>
      <c r="B205" s="92"/>
      <c r="C205" s="92"/>
      <c r="D205" s="92"/>
      <c r="E205" s="92"/>
      <c r="F205" s="92"/>
      <c r="G205" s="92"/>
      <c r="H205" s="92"/>
      <c r="I205" s="92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</row>
    <row r="206" spans="1:26" hidden="1">
      <c r="A206" s="92"/>
      <c r="B206" s="92"/>
      <c r="C206" s="92"/>
      <c r="D206" s="92"/>
      <c r="E206" s="92"/>
      <c r="F206" s="92"/>
      <c r="G206" s="92"/>
      <c r="H206" s="92"/>
      <c r="I206" s="92"/>
      <c r="J206" s="92"/>
      <c r="K206" s="9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</row>
    <row r="207" spans="1:26" hidden="1">
      <c r="A207" s="92"/>
      <c r="B207" s="92"/>
      <c r="C207" s="92"/>
      <c r="D207" s="92"/>
      <c r="E207" s="92"/>
      <c r="F207" s="92"/>
      <c r="G207" s="92"/>
      <c r="H207" s="92"/>
      <c r="I207" s="92"/>
      <c r="J207" s="92"/>
      <c r="K207" s="92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</row>
    <row r="208" spans="1:26" hidden="1">
      <c r="A208" s="92"/>
      <c r="B208" s="92"/>
      <c r="C208" s="92"/>
      <c r="D208" s="92"/>
      <c r="E208" s="92"/>
      <c r="F208" s="92"/>
      <c r="G208" s="92"/>
      <c r="H208" s="92"/>
      <c r="I208" s="92"/>
      <c r="J208" s="92"/>
      <c r="K208" s="9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</row>
    <row r="209" spans="1:26" hidden="1">
      <c r="A209" s="92"/>
      <c r="B209" s="92"/>
      <c r="C209" s="92"/>
      <c r="D209" s="92"/>
      <c r="E209" s="92"/>
      <c r="F209" s="92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</row>
    <row r="210" spans="1:26" hidden="1">
      <c r="A210" s="92"/>
      <c r="B210" s="92"/>
      <c r="C210" s="92"/>
      <c r="D210" s="92"/>
      <c r="E210" s="92"/>
      <c r="F210" s="92"/>
      <c r="G210" s="92"/>
      <c r="H210" s="92"/>
      <c r="I210" s="92"/>
      <c r="J210" s="92"/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</row>
    <row r="211" spans="1:26" hidden="1">
      <c r="A211" s="92"/>
      <c r="B211" s="92"/>
      <c r="C211" s="92"/>
      <c r="D211" s="92"/>
      <c r="E211" s="92"/>
      <c r="F211" s="92"/>
      <c r="G211" s="92"/>
      <c r="H211" s="92"/>
      <c r="I211" s="92"/>
      <c r="J211" s="92"/>
      <c r="K211" s="92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</row>
    <row r="212" spans="1:26" hidden="1">
      <c r="A212" s="92"/>
      <c r="B212" s="92"/>
      <c r="C212" s="92"/>
      <c r="D212" s="92"/>
      <c r="E212" s="92"/>
      <c r="F212" s="92"/>
      <c r="G212" s="92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</row>
    <row r="213" spans="1:26" hidden="1">
      <c r="A213" s="92"/>
      <c r="B213" s="92"/>
      <c r="C213" s="92"/>
      <c r="D213" s="92"/>
      <c r="E213" s="92"/>
      <c r="F213" s="92"/>
      <c r="G213" s="92"/>
      <c r="H213" s="92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</row>
    <row r="214" spans="1:26" hidden="1">
      <c r="A214" s="92"/>
      <c r="B214" s="92"/>
      <c r="C214" s="92"/>
      <c r="D214" s="92"/>
      <c r="E214" s="92"/>
      <c r="F214" s="92"/>
      <c r="G214" s="92"/>
      <c r="H214" s="92"/>
      <c r="I214" s="92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</row>
    <row r="215" spans="1:26" hidden="1">
      <c r="A215" s="92"/>
      <c r="B215" s="92"/>
      <c r="C215" s="92"/>
      <c r="D215" s="92"/>
      <c r="E215" s="92"/>
      <c r="F215" s="92"/>
      <c r="G215" s="92"/>
      <c r="H215" s="92"/>
      <c r="I215" s="92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</row>
    <row r="216" spans="1:26" hidden="1">
      <c r="A216" s="92"/>
      <c r="B216" s="92"/>
      <c r="C216" s="92"/>
      <c r="D216" s="92"/>
      <c r="E216" s="92"/>
      <c r="F216" s="92"/>
      <c r="G216" s="92"/>
      <c r="H216" s="92"/>
      <c r="I216" s="92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</row>
    <row r="217" spans="1:26" hidden="1">
      <c r="A217" s="92"/>
      <c r="B217" s="92"/>
      <c r="C217" s="92"/>
      <c r="D217" s="92"/>
      <c r="E217" s="92"/>
      <c r="F217" s="92"/>
      <c r="G217" s="92"/>
      <c r="H217" s="92"/>
      <c r="I217" s="92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</row>
    <row r="218" spans="1:26" hidden="1">
      <c r="A218" s="92"/>
      <c r="B218" s="92"/>
      <c r="C218" s="92"/>
      <c r="D218" s="92"/>
      <c r="E218" s="92"/>
      <c r="F218" s="92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</row>
    <row r="219" spans="1:26" hidden="1">
      <c r="A219" s="92"/>
      <c r="B219" s="92"/>
      <c r="C219" s="92"/>
      <c r="D219" s="92"/>
      <c r="E219" s="92"/>
      <c r="F219" s="92"/>
      <c r="G219" s="92"/>
      <c r="H219" s="92"/>
      <c r="I219" s="92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</row>
    <row r="220" spans="1:26" hidden="1">
      <c r="A220" s="92"/>
      <c r="B220" s="92"/>
      <c r="C220" s="92"/>
      <c r="D220" s="92"/>
      <c r="E220" s="92"/>
      <c r="F220" s="92"/>
      <c r="G220" s="92"/>
      <c r="H220" s="92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</row>
    <row r="221" spans="1:26" hidden="1">
      <c r="A221" s="92"/>
      <c r="B221" s="92"/>
      <c r="C221" s="92"/>
      <c r="D221" s="92"/>
      <c r="E221" s="92"/>
      <c r="F221" s="92"/>
      <c r="G221" s="92"/>
      <c r="H221" s="92"/>
      <c r="I221" s="92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</row>
    <row r="222" spans="1:26" hidden="1">
      <c r="A222" s="92"/>
      <c r="B222" s="92"/>
      <c r="C222" s="92"/>
      <c r="D222" s="92"/>
      <c r="E222" s="92"/>
      <c r="F222" s="92"/>
      <c r="G222" s="92"/>
      <c r="H222" s="92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</row>
    <row r="223" spans="1:26" hidden="1">
      <c r="A223" s="92"/>
      <c r="B223" s="92"/>
      <c r="C223" s="92"/>
      <c r="D223" s="92"/>
      <c r="E223" s="92"/>
      <c r="F223" s="92"/>
      <c r="G223" s="92"/>
      <c r="H223" s="92"/>
      <c r="I223" s="92"/>
      <c r="J223" s="92"/>
      <c r="K223" s="92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2"/>
    </row>
    <row r="224" spans="1:26" hidden="1">
      <c r="A224" s="92"/>
      <c r="B224" s="92"/>
      <c r="C224" s="92"/>
      <c r="D224" s="92"/>
      <c r="E224" s="92"/>
      <c r="F224" s="92"/>
      <c r="G224" s="92"/>
      <c r="H224" s="92"/>
      <c r="I224" s="92"/>
      <c r="J224" s="92"/>
      <c r="K224" s="92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</row>
    <row r="225" spans="1:26" hidden="1">
      <c r="A225" s="92"/>
      <c r="B225" s="92"/>
      <c r="C225" s="92"/>
      <c r="D225" s="92"/>
      <c r="E225" s="92"/>
      <c r="F225" s="92"/>
      <c r="G225" s="92"/>
      <c r="H225" s="92"/>
      <c r="I225" s="92"/>
      <c r="J225" s="92"/>
      <c r="K225" s="92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</row>
    <row r="226" spans="1:26" hidden="1">
      <c r="A226" s="92"/>
      <c r="B226" s="92"/>
      <c r="C226" s="92"/>
      <c r="D226" s="92"/>
      <c r="E226" s="92"/>
      <c r="F226" s="92"/>
      <c r="G226" s="92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</row>
    <row r="227" spans="1:26" hidden="1">
      <c r="A227" s="92"/>
      <c r="B227" s="92"/>
      <c r="C227" s="92"/>
      <c r="D227" s="92"/>
      <c r="E227" s="92"/>
      <c r="F227" s="92"/>
      <c r="G227" s="92"/>
      <c r="H227" s="92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</row>
    <row r="228" spans="1:26" hidden="1">
      <c r="A228" s="92"/>
      <c r="B228" s="92"/>
      <c r="C228" s="92"/>
      <c r="D228" s="92"/>
      <c r="E228" s="92"/>
      <c r="F228" s="92"/>
      <c r="G228" s="92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</row>
    <row r="229" spans="1:26" hidden="1">
      <c r="A229" s="92"/>
      <c r="B229" s="92"/>
      <c r="C229" s="92"/>
      <c r="D229" s="92"/>
      <c r="E229" s="92"/>
      <c r="F229" s="92"/>
      <c r="G229" s="92"/>
      <c r="H229" s="92"/>
      <c r="I229" s="92"/>
      <c r="J229" s="92"/>
      <c r="K229" s="9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</row>
    <row r="230" spans="1:26" hidden="1">
      <c r="A230" s="92"/>
      <c r="B230" s="92"/>
      <c r="C230" s="92"/>
      <c r="D230" s="92"/>
      <c r="E230" s="92"/>
      <c r="F230" s="92"/>
      <c r="G230" s="92"/>
      <c r="H230" s="92"/>
      <c r="I230" s="92"/>
      <c r="J230" s="92"/>
      <c r="K230" s="92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</row>
    <row r="231" spans="1:26" hidden="1">
      <c r="A231" s="92"/>
      <c r="B231" s="92"/>
      <c r="C231" s="92"/>
      <c r="D231" s="92"/>
      <c r="E231" s="92"/>
      <c r="F231" s="92"/>
      <c r="G231" s="92"/>
      <c r="H231" s="92"/>
      <c r="I231" s="92"/>
      <c r="J231" s="92"/>
      <c r="K231" s="92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</row>
    <row r="232" spans="1:26" hidden="1">
      <c r="A232" s="92"/>
      <c r="B232" s="92"/>
      <c r="C232" s="92"/>
      <c r="D232" s="92"/>
      <c r="E232" s="92"/>
      <c r="F232" s="92"/>
      <c r="G232" s="92"/>
      <c r="H232" s="92"/>
      <c r="I232" s="92"/>
      <c r="J232" s="92"/>
      <c r="K232" s="92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</row>
    <row r="233" spans="1:26" hidden="1">
      <c r="A233" s="92"/>
      <c r="B233" s="92"/>
      <c r="C233" s="92"/>
      <c r="D233" s="92"/>
      <c r="E233" s="92"/>
      <c r="F233" s="92"/>
      <c r="G233" s="92"/>
      <c r="H233" s="92"/>
      <c r="I233" s="92"/>
      <c r="J233" s="92"/>
      <c r="K233" s="92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</row>
    <row r="234" spans="1:26" hidden="1">
      <c r="A234" s="92"/>
      <c r="B234" s="92"/>
      <c r="C234" s="92"/>
      <c r="D234" s="92"/>
      <c r="E234" s="92"/>
      <c r="F234" s="92"/>
      <c r="G234" s="92"/>
      <c r="H234" s="92"/>
      <c r="I234" s="92"/>
      <c r="J234" s="92"/>
      <c r="K234" s="92"/>
      <c r="L234" s="92"/>
      <c r="M234" s="92"/>
      <c r="N234" s="92"/>
      <c r="O234" s="92"/>
      <c r="P234" s="92"/>
      <c r="Q234" s="92"/>
      <c r="R234" s="92"/>
      <c r="S234" s="92"/>
      <c r="T234" s="92"/>
      <c r="U234" s="92"/>
      <c r="V234" s="92"/>
      <c r="W234" s="92"/>
      <c r="X234" s="92"/>
      <c r="Y234" s="92"/>
      <c r="Z234" s="92"/>
    </row>
    <row r="235" spans="1:26" hidden="1">
      <c r="A235" s="92"/>
      <c r="B235" s="92"/>
      <c r="C235" s="92"/>
      <c r="D235" s="92"/>
      <c r="E235" s="92"/>
      <c r="F235" s="92"/>
      <c r="G235" s="92"/>
      <c r="H235" s="92"/>
      <c r="I235" s="92"/>
      <c r="J235" s="92"/>
      <c r="K235" s="92"/>
      <c r="L235" s="92"/>
      <c r="M235" s="92"/>
      <c r="N235" s="92"/>
      <c r="O235" s="92"/>
      <c r="P235" s="92"/>
      <c r="Q235" s="92"/>
      <c r="R235" s="92"/>
      <c r="S235" s="92"/>
      <c r="T235" s="92"/>
      <c r="U235" s="92"/>
      <c r="V235" s="92"/>
      <c r="W235" s="92"/>
      <c r="X235" s="92"/>
      <c r="Y235" s="92"/>
      <c r="Z235" s="92"/>
    </row>
    <row r="236" spans="1:26" hidden="1">
      <c r="A236" s="92"/>
      <c r="B236" s="92"/>
      <c r="C236" s="92"/>
      <c r="D236" s="92"/>
      <c r="E236" s="92"/>
      <c r="F236" s="92"/>
      <c r="G236" s="92"/>
      <c r="H236" s="92"/>
      <c r="I236" s="92"/>
      <c r="J236" s="92"/>
      <c r="K236" s="92"/>
      <c r="L236" s="92"/>
      <c r="M236" s="92"/>
      <c r="N236" s="92"/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  <c r="Z236" s="92"/>
    </row>
    <row r="237" spans="1:26" hidden="1">
      <c r="A237" s="92"/>
      <c r="B237" s="92"/>
      <c r="C237" s="92"/>
      <c r="D237" s="92"/>
      <c r="E237" s="92"/>
      <c r="F237" s="92"/>
      <c r="G237" s="92"/>
      <c r="H237" s="92"/>
      <c r="I237" s="92"/>
      <c r="J237" s="92"/>
      <c r="K237" s="92"/>
      <c r="L237" s="92"/>
      <c r="M237" s="92"/>
      <c r="N237" s="92"/>
      <c r="O237" s="92"/>
      <c r="P237" s="92"/>
      <c r="Q237" s="92"/>
      <c r="R237" s="92"/>
      <c r="S237" s="92"/>
      <c r="T237" s="92"/>
      <c r="U237" s="92"/>
      <c r="V237" s="92"/>
      <c r="W237" s="92"/>
      <c r="X237" s="92"/>
      <c r="Y237" s="92"/>
      <c r="Z237" s="92"/>
    </row>
    <row r="238" spans="1:26" hidden="1">
      <c r="A238" s="92"/>
      <c r="B238" s="92"/>
      <c r="C238" s="92"/>
      <c r="D238" s="92"/>
      <c r="E238" s="92"/>
      <c r="F238" s="92"/>
      <c r="G238" s="92"/>
      <c r="H238" s="92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</row>
    <row r="239" spans="1:26" hidden="1">
      <c r="A239" s="92"/>
      <c r="B239" s="92"/>
      <c r="C239" s="92"/>
      <c r="D239" s="92"/>
      <c r="E239" s="92"/>
      <c r="F239" s="92"/>
      <c r="G239" s="92"/>
      <c r="H239" s="92"/>
      <c r="I239" s="92"/>
      <c r="J239" s="92"/>
      <c r="K239" s="92"/>
      <c r="L239" s="92"/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  <c r="Z239" s="92"/>
    </row>
    <row r="240" spans="1:26" hidden="1">
      <c r="A240" s="92"/>
      <c r="B240" s="92"/>
      <c r="C240" s="92"/>
      <c r="D240" s="92"/>
      <c r="E240" s="92"/>
      <c r="F240" s="92"/>
      <c r="G240" s="92"/>
      <c r="H240" s="92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2"/>
      <c r="Z240" s="92"/>
    </row>
    <row r="241" spans="1:26" hidden="1">
      <c r="A241" s="92"/>
      <c r="B241" s="92"/>
      <c r="C241" s="92"/>
      <c r="D241" s="92"/>
      <c r="E241" s="92"/>
      <c r="F241" s="92"/>
      <c r="G241" s="92"/>
      <c r="H241" s="92"/>
      <c r="I241" s="92"/>
      <c r="J241" s="92"/>
      <c r="K241" s="92"/>
      <c r="L241" s="92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  <c r="Z241" s="92"/>
    </row>
    <row r="242" spans="1:26" hidden="1">
      <c r="A242" s="92"/>
      <c r="B242" s="92"/>
      <c r="C242" s="92"/>
      <c r="D242" s="92"/>
      <c r="E242" s="92"/>
      <c r="F242" s="92"/>
      <c r="G242" s="92"/>
      <c r="H242" s="92"/>
      <c r="I242" s="92"/>
      <c r="J242" s="92"/>
      <c r="K242" s="92"/>
      <c r="L242" s="92"/>
      <c r="M242" s="92"/>
      <c r="N242" s="92"/>
      <c r="O242" s="92"/>
      <c r="P242" s="92"/>
      <c r="Q242" s="92"/>
      <c r="R242" s="92"/>
      <c r="S242" s="92"/>
      <c r="T242" s="92"/>
      <c r="U242" s="92"/>
      <c r="V242" s="92"/>
      <c r="W242" s="92"/>
      <c r="X242" s="92"/>
      <c r="Y242" s="92"/>
      <c r="Z242" s="92"/>
    </row>
    <row r="243" spans="1:26" hidden="1">
      <c r="A243" s="92"/>
      <c r="B243" s="92"/>
      <c r="C243" s="92"/>
      <c r="D243" s="92"/>
      <c r="E243" s="92"/>
      <c r="F243" s="92"/>
      <c r="G243" s="92"/>
      <c r="H243" s="92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2"/>
    </row>
    <row r="244" spans="1:26" hidden="1">
      <c r="A244" s="92"/>
      <c r="B244" s="92"/>
      <c r="C244" s="92"/>
      <c r="D244" s="92"/>
      <c r="E244" s="92"/>
      <c r="F244" s="92"/>
      <c r="G244" s="92"/>
      <c r="H244" s="92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</row>
    <row r="245" spans="1:26" hidden="1">
      <c r="A245" s="92"/>
      <c r="B245" s="92"/>
      <c r="C245" s="92"/>
      <c r="D245" s="92"/>
      <c r="E245" s="92"/>
      <c r="F245" s="92"/>
      <c r="G245" s="92"/>
      <c r="H245" s="92"/>
      <c r="I245" s="92"/>
      <c r="J245" s="92"/>
      <c r="K245" s="92"/>
      <c r="L245" s="92"/>
      <c r="M245" s="92"/>
      <c r="N245" s="92"/>
      <c r="O245" s="92"/>
      <c r="P245" s="92"/>
      <c r="Q245" s="92"/>
      <c r="R245" s="92"/>
      <c r="S245" s="92"/>
      <c r="T245" s="92"/>
      <c r="U245" s="92"/>
      <c r="V245" s="92"/>
      <c r="W245" s="92"/>
      <c r="X245" s="92"/>
      <c r="Y245" s="92"/>
      <c r="Z245" s="92"/>
    </row>
    <row r="246" spans="1:26" hidden="1">
      <c r="A246" s="92"/>
      <c r="B246" s="92"/>
      <c r="C246" s="92"/>
      <c r="D246" s="92"/>
      <c r="E246" s="92"/>
      <c r="F246" s="92"/>
      <c r="G246" s="92"/>
      <c r="H246" s="92"/>
      <c r="I246" s="92"/>
      <c r="J246" s="92"/>
      <c r="K246" s="92"/>
      <c r="L246" s="92"/>
      <c r="M246" s="92"/>
      <c r="N246" s="92"/>
      <c r="O246" s="92"/>
      <c r="P246" s="92"/>
      <c r="Q246" s="92"/>
      <c r="R246" s="92"/>
      <c r="S246" s="92"/>
      <c r="T246" s="92"/>
      <c r="U246" s="92"/>
      <c r="V246" s="92"/>
      <c r="W246" s="92"/>
      <c r="X246" s="92"/>
      <c r="Y246" s="92"/>
      <c r="Z246" s="92"/>
    </row>
    <row r="247" spans="1:26" hidden="1">
      <c r="A247" s="92"/>
      <c r="B247" s="92"/>
      <c r="C247" s="92"/>
      <c r="D247" s="92"/>
      <c r="E247" s="92"/>
      <c r="F247" s="92"/>
      <c r="G247" s="92"/>
      <c r="H247" s="92"/>
      <c r="I247" s="92"/>
      <c r="J247" s="92"/>
      <c r="K247" s="92"/>
      <c r="L247" s="92"/>
      <c r="M247" s="92"/>
      <c r="N247" s="92"/>
      <c r="O247" s="92"/>
      <c r="P247" s="92"/>
      <c r="Q247" s="92"/>
      <c r="R247" s="92"/>
      <c r="S247" s="92"/>
      <c r="T247" s="92"/>
      <c r="U247" s="92"/>
      <c r="V247" s="92"/>
      <c r="W247" s="92"/>
      <c r="X247" s="92"/>
      <c r="Y247" s="92"/>
      <c r="Z247" s="92"/>
    </row>
    <row r="248" spans="1:26" hidden="1">
      <c r="A248" s="92"/>
      <c r="B248" s="92"/>
      <c r="C248" s="92"/>
      <c r="D248" s="92"/>
      <c r="E248" s="92"/>
      <c r="F248" s="92"/>
      <c r="G248" s="92"/>
      <c r="H248" s="92"/>
      <c r="I248" s="92"/>
      <c r="J248" s="92"/>
      <c r="K248" s="92"/>
      <c r="L248" s="92"/>
      <c r="M248" s="92"/>
      <c r="N248" s="92"/>
      <c r="O248" s="92"/>
      <c r="P248" s="92"/>
      <c r="Q248" s="92"/>
      <c r="R248" s="92"/>
      <c r="S248" s="92"/>
      <c r="T248" s="92"/>
      <c r="U248" s="92"/>
      <c r="V248" s="92"/>
      <c r="W248" s="92"/>
      <c r="X248" s="92"/>
      <c r="Y248" s="92"/>
      <c r="Z248" s="92"/>
    </row>
    <row r="249" spans="1:26" hidden="1">
      <c r="A249" s="92"/>
      <c r="B249" s="92"/>
      <c r="C249" s="92"/>
      <c r="D249" s="92"/>
      <c r="E249" s="92"/>
      <c r="F249" s="92"/>
      <c r="G249" s="92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2"/>
      <c r="Z249" s="92"/>
    </row>
    <row r="250" spans="1:26" hidden="1">
      <c r="A250" s="92"/>
      <c r="B250" s="92"/>
      <c r="C250" s="92"/>
      <c r="D250" s="92"/>
      <c r="E250" s="92"/>
      <c r="F250" s="92"/>
      <c r="G250" s="92"/>
      <c r="H250" s="92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</row>
    <row r="251" spans="1:26" hidden="1">
      <c r="A251" s="92"/>
      <c r="B251" s="92"/>
      <c r="C251" s="92"/>
      <c r="D251" s="92"/>
      <c r="E251" s="92"/>
      <c r="F251" s="92"/>
      <c r="G251" s="92"/>
      <c r="H251" s="92"/>
      <c r="I251" s="92"/>
      <c r="J251" s="92"/>
      <c r="K251" s="92"/>
      <c r="L251" s="92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  <c r="Z251" s="92"/>
    </row>
    <row r="252" spans="1:26" hidden="1">
      <c r="A252" s="92"/>
      <c r="B252" s="92"/>
      <c r="C252" s="92"/>
      <c r="D252" s="92"/>
      <c r="E252" s="92"/>
      <c r="F252" s="92"/>
      <c r="G252" s="92"/>
      <c r="H252" s="92"/>
      <c r="I252" s="92"/>
      <c r="J252" s="92"/>
      <c r="K252" s="92"/>
      <c r="L252" s="92"/>
      <c r="M252" s="92"/>
      <c r="N252" s="92"/>
      <c r="O252" s="92"/>
      <c r="P252" s="92"/>
      <c r="Q252" s="92"/>
      <c r="R252" s="92"/>
      <c r="S252" s="92"/>
      <c r="T252" s="92"/>
      <c r="U252" s="92"/>
      <c r="V252" s="92"/>
      <c r="W252" s="92"/>
      <c r="X252" s="92"/>
      <c r="Y252" s="92"/>
      <c r="Z252" s="92"/>
    </row>
    <row r="253" spans="1:26" hidden="1">
      <c r="A253" s="92"/>
      <c r="B253" s="92"/>
      <c r="C253" s="92"/>
      <c r="D253" s="92"/>
      <c r="E253" s="92"/>
      <c r="F253" s="92"/>
      <c r="G253" s="92"/>
      <c r="H253" s="92"/>
      <c r="I253" s="92"/>
      <c r="J253" s="92"/>
      <c r="K253" s="92"/>
      <c r="L253" s="92"/>
      <c r="M253" s="92"/>
      <c r="N253" s="92"/>
      <c r="O253" s="92"/>
      <c r="P253" s="92"/>
      <c r="Q253" s="92"/>
      <c r="R253" s="92"/>
      <c r="S253" s="92"/>
      <c r="T253" s="92"/>
      <c r="U253" s="92"/>
      <c r="V253" s="92"/>
      <c r="W253" s="92"/>
      <c r="X253" s="92"/>
      <c r="Y253" s="92"/>
      <c r="Z253" s="92"/>
    </row>
    <row r="254" spans="1:26" hidden="1">
      <c r="A254" s="92"/>
      <c r="B254" s="92"/>
      <c r="C254" s="92"/>
      <c r="D254" s="92"/>
      <c r="E254" s="92"/>
      <c r="F254" s="92"/>
      <c r="G254" s="92"/>
      <c r="H254" s="92"/>
      <c r="I254" s="92"/>
      <c r="J254" s="92"/>
      <c r="K254" s="92"/>
      <c r="L254" s="92"/>
      <c r="M254" s="92"/>
      <c r="N254" s="92"/>
      <c r="O254" s="92"/>
      <c r="P254" s="92"/>
      <c r="Q254" s="92"/>
      <c r="R254" s="92"/>
      <c r="S254" s="92"/>
      <c r="T254" s="92"/>
      <c r="U254" s="92"/>
      <c r="V254" s="92"/>
      <c r="W254" s="92"/>
      <c r="X254" s="92"/>
      <c r="Y254" s="92"/>
      <c r="Z254" s="92"/>
    </row>
    <row r="255" spans="1:26" hidden="1">
      <c r="A255" s="92"/>
      <c r="B255" s="92"/>
      <c r="C255" s="92"/>
      <c r="D255" s="92"/>
      <c r="E255" s="92"/>
      <c r="F255" s="92"/>
      <c r="G255" s="92"/>
      <c r="H255" s="92"/>
      <c r="I255" s="92"/>
      <c r="J255" s="92"/>
      <c r="K255" s="92"/>
      <c r="L255" s="92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  <c r="Z255" s="92"/>
    </row>
    <row r="256" spans="1:26" hidden="1">
      <c r="A256" s="92"/>
      <c r="B256" s="92"/>
      <c r="C256" s="92"/>
      <c r="D256" s="92"/>
      <c r="E256" s="92"/>
      <c r="F256" s="92"/>
      <c r="G256" s="92"/>
      <c r="H256" s="92"/>
      <c r="I256" s="92"/>
      <c r="J256" s="92"/>
      <c r="K256" s="92"/>
      <c r="L256" s="92"/>
      <c r="M256" s="92"/>
      <c r="N256" s="92"/>
      <c r="O256" s="92"/>
      <c r="P256" s="92"/>
      <c r="Q256" s="92"/>
      <c r="R256" s="92"/>
      <c r="S256" s="92"/>
      <c r="T256" s="92"/>
      <c r="U256" s="92"/>
      <c r="V256" s="92"/>
      <c r="W256" s="92"/>
      <c r="X256" s="92"/>
      <c r="Y256" s="92"/>
      <c r="Z256" s="92"/>
    </row>
    <row r="257" spans="1:26" hidden="1">
      <c r="A257" s="92"/>
      <c r="B257" s="92"/>
      <c r="C257" s="92"/>
      <c r="D257" s="92"/>
      <c r="E257" s="92"/>
      <c r="F257" s="92"/>
      <c r="G257" s="92"/>
      <c r="H257" s="92"/>
      <c r="I257" s="92"/>
      <c r="J257" s="92"/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2"/>
    </row>
    <row r="258" spans="1:26" hidden="1">
      <c r="A258" s="92"/>
      <c r="B258" s="92"/>
      <c r="C258" s="92"/>
      <c r="D258" s="92"/>
      <c r="E258" s="92"/>
      <c r="F258" s="92"/>
      <c r="G258" s="92"/>
      <c r="H258" s="92"/>
      <c r="I258" s="92"/>
      <c r="J258" s="92"/>
      <c r="K258" s="92"/>
      <c r="L258" s="92"/>
      <c r="M258" s="92"/>
      <c r="N258" s="92"/>
      <c r="O258" s="92"/>
      <c r="P258" s="92"/>
      <c r="Q258" s="92"/>
      <c r="R258" s="92"/>
      <c r="S258" s="92"/>
      <c r="T258" s="92"/>
      <c r="U258" s="92"/>
      <c r="V258" s="92"/>
      <c r="W258" s="92"/>
      <c r="X258" s="92"/>
      <c r="Y258" s="92"/>
      <c r="Z258" s="92"/>
    </row>
    <row r="259" spans="1:26" hidden="1">
      <c r="A259" s="92"/>
      <c r="B259" s="92"/>
      <c r="C259" s="92"/>
      <c r="D259" s="92"/>
      <c r="E259" s="92"/>
      <c r="F259" s="92"/>
      <c r="G259" s="92"/>
      <c r="H259" s="92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  <c r="Z259" s="92"/>
    </row>
    <row r="260" spans="1:26" hidden="1">
      <c r="A260" s="92"/>
      <c r="B260" s="92"/>
      <c r="C260" s="92"/>
      <c r="D260" s="92"/>
      <c r="E260" s="92"/>
      <c r="F260" s="92"/>
      <c r="G260" s="92"/>
      <c r="H260" s="92"/>
      <c r="I260" s="92"/>
      <c r="J260" s="92"/>
      <c r="K260" s="92"/>
      <c r="L260" s="92"/>
      <c r="M260" s="92"/>
      <c r="N260" s="92"/>
      <c r="O260" s="92"/>
      <c r="P260" s="92"/>
      <c r="Q260" s="92"/>
      <c r="R260" s="92"/>
      <c r="S260" s="92"/>
      <c r="T260" s="92"/>
      <c r="U260" s="92"/>
      <c r="V260" s="92"/>
      <c r="W260" s="92"/>
      <c r="X260" s="92"/>
      <c r="Y260" s="92"/>
      <c r="Z260" s="92"/>
    </row>
    <row r="261" spans="1:26" hidden="1">
      <c r="A261" s="92"/>
      <c r="B261" s="92"/>
      <c r="C261" s="92"/>
      <c r="D261" s="92"/>
      <c r="E261" s="92"/>
      <c r="F261" s="92"/>
      <c r="G261" s="92"/>
      <c r="H261" s="92"/>
      <c r="I261" s="92"/>
      <c r="J261" s="92"/>
      <c r="K261" s="92"/>
      <c r="L261" s="92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2"/>
    </row>
    <row r="262" spans="1:26" hidden="1">
      <c r="A262" s="92"/>
      <c r="B262" s="92"/>
      <c r="C262" s="92"/>
      <c r="D262" s="92"/>
      <c r="E262" s="92"/>
      <c r="F262" s="92"/>
      <c r="G262" s="92"/>
      <c r="H262" s="92"/>
      <c r="I262" s="92"/>
      <c r="J262" s="92"/>
      <c r="K262" s="92"/>
      <c r="L262" s="92"/>
      <c r="M262" s="92"/>
      <c r="N262" s="92"/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  <c r="Z262" s="92"/>
    </row>
    <row r="263" spans="1:26" hidden="1">
      <c r="A263" s="92"/>
      <c r="B263" s="92"/>
      <c r="C263" s="92"/>
      <c r="D263" s="92"/>
      <c r="E263" s="92"/>
      <c r="F263" s="92"/>
      <c r="G263" s="92"/>
      <c r="H263" s="92"/>
      <c r="I263" s="92"/>
      <c r="J263" s="92"/>
      <c r="K263" s="92"/>
      <c r="L263" s="92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  <c r="Z263" s="92"/>
    </row>
    <row r="264" spans="1:26" hidden="1">
      <c r="A264" s="92"/>
      <c r="B264" s="92"/>
      <c r="C264" s="92"/>
      <c r="D264" s="92"/>
      <c r="E264" s="92"/>
      <c r="F264" s="92"/>
      <c r="G264" s="92"/>
      <c r="H264" s="92"/>
      <c r="I264" s="92"/>
      <c r="J264" s="92"/>
      <c r="K264" s="92"/>
      <c r="L264" s="92"/>
      <c r="M264" s="92"/>
      <c r="N264" s="92"/>
      <c r="O264" s="92"/>
      <c r="P264" s="92"/>
      <c r="Q264" s="92"/>
      <c r="R264" s="92"/>
      <c r="S264" s="92"/>
      <c r="T264" s="92"/>
      <c r="U264" s="92"/>
      <c r="V264" s="92"/>
      <c r="W264" s="92"/>
      <c r="X264" s="92"/>
      <c r="Y264" s="92"/>
      <c r="Z264" s="92"/>
    </row>
    <row r="265" spans="1:26" hidden="1">
      <c r="A265" s="92"/>
      <c r="B265" s="92"/>
      <c r="C265" s="92"/>
      <c r="D265" s="92"/>
      <c r="E265" s="92"/>
      <c r="F265" s="92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</row>
    <row r="266" spans="1:26" hidden="1">
      <c r="A266" s="92"/>
      <c r="B266" s="92"/>
      <c r="C266" s="92"/>
      <c r="D266" s="92"/>
      <c r="E266" s="92"/>
      <c r="F266" s="92"/>
      <c r="G266" s="92"/>
      <c r="H266" s="92"/>
      <c r="I266" s="92"/>
      <c r="J266" s="92"/>
      <c r="K266" s="92"/>
      <c r="L266" s="92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  <c r="Z266" s="92"/>
    </row>
    <row r="267" spans="1:26" hidden="1">
      <c r="A267" s="92"/>
      <c r="B267" s="92"/>
      <c r="C267" s="92"/>
      <c r="D267" s="92"/>
      <c r="E267" s="92"/>
      <c r="F267" s="92"/>
      <c r="G267" s="92"/>
      <c r="H267" s="92"/>
      <c r="I267" s="92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2"/>
    </row>
    <row r="268" spans="1:26" hidden="1">
      <c r="A268" s="92"/>
      <c r="B268" s="92"/>
      <c r="C268" s="92"/>
      <c r="D268" s="92"/>
      <c r="E268" s="92"/>
      <c r="F268" s="92"/>
      <c r="G268" s="92"/>
      <c r="H268" s="92"/>
      <c r="I268" s="92"/>
      <c r="J268" s="92"/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2"/>
    </row>
    <row r="269" spans="1:26" hidden="1">
      <c r="A269" s="92"/>
      <c r="B269" s="92"/>
      <c r="C269" s="92"/>
      <c r="D269" s="92"/>
      <c r="E269" s="92"/>
      <c r="F269" s="92"/>
      <c r="G269" s="92"/>
      <c r="H269" s="92"/>
      <c r="I269" s="92"/>
      <c r="J269" s="92"/>
      <c r="K269" s="92"/>
      <c r="L269" s="92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  <c r="Z269" s="92"/>
    </row>
    <row r="270" spans="1:26" hidden="1">
      <c r="A270" s="92"/>
      <c r="B270" s="92"/>
      <c r="C270" s="92"/>
      <c r="D270" s="92"/>
      <c r="E270" s="92"/>
      <c r="F270" s="92"/>
      <c r="G270" s="92"/>
      <c r="H270" s="92"/>
      <c r="I270" s="92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</row>
    <row r="271" spans="1:26" hidden="1">
      <c r="A271" s="92"/>
      <c r="B271" s="92"/>
      <c r="C271" s="92"/>
      <c r="D271" s="92"/>
      <c r="E271" s="92"/>
      <c r="F271" s="92"/>
      <c r="G271" s="92"/>
      <c r="H271" s="92"/>
      <c r="I271" s="92"/>
      <c r="J271" s="92"/>
      <c r="K271" s="92"/>
      <c r="L271" s="92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  <c r="Z271" s="92"/>
    </row>
    <row r="272" spans="1:26" hidden="1">
      <c r="A272" s="92"/>
      <c r="B272" s="92"/>
      <c r="C272" s="92"/>
      <c r="D272" s="92"/>
      <c r="E272" s="92"/>
      <c r="F272" s="92"/>
      <c r="G272" s="92"/>
      <c r="H272" s="92"/>
      <c r="I272" s="92"/>
      <c r="J272" s="92"/>
      <c r="K272" s="92"/>
      <c r="L272" s="92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  <c r="Z272" s="92"/>
    </row>
    <row r="273" spans="1:26" hidden="1">
      <c r="A273" s="92"/>
      <c r="B273" s="92"/>
      <c r="C273" s="92"/>
      <c r="D273" s="92"/>
      <c r="E273" s="92"/>
      <c r="F273" s="92"/>
      <c r="G273" s="92"/>
      <c r="H273" s="92"/>
      <c r="I273" s="92"/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</row>
    <row r="274" spans="1:26" hidden="1">
      <c r="A274" s="92"/>
      <c r="B274" s="92"/>
      <c r="C274" s="92"/>
      <c r="D274" s="92"/>
      <c r="E274" s="92"/>
      <c r="F274" s="92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2"/>
    </row>
    <row r="275" spans="1:26" hidden="1">
      <c r="A275" s="92"/>
      <c r="B275" s="92"/>
      <c r="C275" s="92"/>
      <c r="D275" s="92"/>
      <c r="E275" s="92"/>
      <c r="F275" s="92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</row>
    <row r="276" spans="1:26" hidden="1">
      <c r="A276" s="92"/>
      <c r="B276" s="92"/>
      <c r="C276" s="92"/>
      <c r="D276" s="92"/>
      <c r="E276" s="92"/>
      <c r="F276" s="92"/>
      <c r="G276" s="92"/>
      <c r="H276" s="92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</row>
    <row r="277" spans="1:26" hidden="1">
      <c r="A277" s="92"/>
      <c r="B277" s="92"/>
      <c r="C277" s="92"/>
      <c r="D277" s="92"/>
      <c r="E277" s="92"/>
      <c r="F277" s="92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</row>
    <row r="278" spans="1:26" hidden="1">
      <c r="A278" s="92"/>
      <c r="B278" s="92"/>
      <c r="C278" s="92"/>
      <c r="D278" s="92"/>
      <c r="E278" s="92"/>
      <c r="F278" s="92"/>
      <c r="G278" s="92"/>
      <c r="H278" s="92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2"/>
    </row>
    <row r="279" spans="1:26" hidden="1">
      <c r="A279" s="92"/>
      <c r="B279" s="92"/>
      <c r="C279" s="92"/>
      <c r="D279" s="92"/>
      <c r="E279" s="92"/>
      <c r="F279" s="92"/>
      <c r="G279" s="92"/>
      <c r="H279" s="92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</row>
    <row r="280" spans="1:26" hidden="1">
      <c r="A280" s="92"/>
      <c r="B280" s="92"/>
      <c r="C280" s="92"/>
      <c r="D280" s="92"/>
      <c r="E280" s="92"/>
      <c r="F280" s="92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</row>
    <row r="281" spans="1:26" hidden="1">
      <c r="A281" s="92"/>
      <c r="B281" s="92"/>
      <c r="C281" s="92"/>
      <c r="D281" s="92"/>
      <c r="E281" s="92"/>
      <c r="F281" s="92"/>
      <c r="G281" s="92"/>
      <c r="H281" s="92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2"/>
    </row>
    <row r="282" spans="1:26" hidden="1">
      <c r="A282" s="92"/>
      <c r="B282" s="92"/>
      <c r="C282" s="92"/>
      <c r="D282" s="92"/>
      <c r="E282" s="92"/>
      <c r="F282" s="92"/>
      <c r="G282" s="92"/>
      <c r="H282" s="92"/>
      <c r="I282" s="92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  <c r="Z282" s="92"/>
    </row>
    <row r="283" spans="1:26" hidden="1">
      <c r="A283" s="92"/>
      <c r="B283" s="92"/>
      <c r="C283" s="92"/>
      <c r="D283" s="92"/>
      <c r="E283" s="92"/>
      <c r="F283" s="92"/>
      <c r="G283" s="92"/>
      <c r="H283" s="92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2"/>
    </row>
    <row r="284" spans="1:26" hidden="1">
      <c r="A284" s="92"/>
      <c r="B284" s="92"/>
      <c r="C284" s="92"/>
      <c r="D284" s="92"/>
      <c r="E284" s="92"/>
      <c r="F284" s="92"/>
      <c r="G284" s="92"/>
      <c r="H284" s="92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2"/>
    </row>
    <row r="285" spans="1:26" hidden="1">
      <c r="A285" s="92"/>
      <c r="B285" s="92"/>
      <c r="C285" s="92"/>
      <c r="D285" s="92"/>
      <c r="E285" s="92"/>
      <c r="F285" s="92"/>
      <c r="G285" s="92"/>
      <c r="H285" s="92"/>
      <c r="I285" s="92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2"/>
    </row>
    <row r="286" spans="1:26" hidden="1">
      <c r="A286" s="92"/>
      <c r="B286" s="92"/>
      <c r="C286" s="92"/>
      <c r="D286" s="92"/>
      <c r="E286" s="92"/>
      <c r="F286" s="92"/>
      <c r="G286" s="92"/>
      <c r="H286" s="92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  <c r="Z286" s="92"/>
    </row>
    <row r="287" spans="1:26" hidden="1">
      <c r="A287" s="92"/>
      <c r="B287" s="92"/>
      <c r="C287" s="92"/>
      <c r="D287" s="92"/>
      <c r="E287" s="92"/>
      <c r="F287" s="92"/>
      <c r="G287" s="92"/>
      <c r="H287" s="92"/>
      <c r="I287" s="92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  <c r="Z287" s="92"/>
    </row>
    <row r="288" spans="1:26" hidden="1">
      <c r="A288" s="92"/>
      <c r="B288" s="92"/>
      <c r="C288" s="92"/>
      <c r="D288" s="92"/>
      <c r="E288" s="92"/>
      <c r="F288" s="92"/>
      <c r="G288" s="92"/>
      <c r="H288" s="92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</row>
    <row r="289" spans="1:26" hidden="1">
      <c r="A289" s="92"/>
      <c r="B289" s="92"/>
      <c r="C289" s="92"/>
      <c r="D289" s="92"/>
      <c r="E289" s="92"/>
      <c r="F289" s="92"/>
      <c r="G289" s="92"/>
      <c r="H289" s="92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  <c r="Z289" s="92"/>
    </row>
    <row r="290" spans="1:26" hidden="1">
      <c r="A290" s="92"/>
      <c r="B290" s="92"/>
      <c r="C290" s="92"/>
      <c r="D290" s="92"/>
      <c r="E290" s="92"/>
      <c r="F290" s="92"/>
      <c r="G290" s="92"/>
      <c r="H290" s="92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  <c r="Z290" s="92"/>
    </row>
    <row r="291" spans="1:26" hidden="1">
      <c r="A291" s="92"/>
      <c r="B291" s="92"/>
      <c r="C291" s="92"/>
      <c r="D291" s="92"/>
      <c r="E291" s="92"/>
      <c r="F291" s="92"/>
      <c r="G291" s="92"/>
      <c r="H291" s="92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2"/>
    </row>
    <row r="292" spans="1:26" hidden="1">
      <c r="A292" s="92"/>
      <c r="B292" s="92"/>
      <c r="C292" s="92"/>
      <c r="D292" s="92"/>
      <c r="E292" s="92"/>
      <c r="F292" s="92"/>
      <c r="G292" s="92"/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2"/>
    </row>
    <row r="293" spans="1:26" hidden="1">
      <c r="A293" s="92"/>
      <c r="B293" s="92"/>
      <c r="C293" s="92"/>
      <c r="D293" s="92"/>
      <c r="E293" s="92"/>
      <c r="F293" s="92"/>
      <c r="G293" s="92"/>
      <c r="H293" s="92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  <c r="Z293" s="92"/>
    </row>
    <row r="294" spans="1:26" hidden="1">
      <c r="A294" s="92"/>
      <c r="B294" s="92"/>
      <c r="C294" s="92"/>
      <c r="D294" s="92"/>
      <c r="E294" s="92"/>
      <c r="F294" s="92"/>
      <c r="G294" s="92"/>
      <c r="H294" s="92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2"/>
    </row>
    <row r="295" spans="1:26" hidden="1">
      <c r="A295" s="92"/>
      <c r="B295" s="92"/>
      <c r="C295" s="92"/>
      <c r="D295" s="92"/>
      <c r="E295" s="92"/>
      <c r="F295" s="92"/>
      <c r="G295" s="92"/>
      <c r="H295" s="92"/>
      <c r="I295" s="92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  <c r="Z295" s="92"/>
    </row>
    <row r="296" spans="1:26" hidden="1">
      <c r="A296" s="92"/>
      <c r="B296" s="92"/>
      <c r="C296" s="92"/>
      <c r="D296" s="92"/>
      <c r="E296" s="92"/>
      <c r="F296" s="92"/>
      <c r="G296" s="92"/>
      <c r="H296" s="92"/>
      <c r="I296" s="92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  <c r="Z296" s="92"/>
    </row>
    <row r="297" spans="1:26" hidden="1">
      <c r="A297" s="92"/>
      <c r="B297" s="92"/>
      <c r="C297" s="92"/>
      <c r="D297" s="92"/>
      <c r="E297" s="92"/>
      <c r="F297" s="92"/>
      <c r="G297" s="92"/>
      <c r="H297" s="92"/>
      <c r="I297" s="92"/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2"/>
    </row>
    <row r="298" spans="1:26" hidden="1">
      <c r="A298" s="92"/>
      <c r="B298" s="92"/>
      <c r="C298" s="92"/>
      <c r="D298" s="92"/>
      <c r="E298" s="92"/>
      <c r="F298" s="92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2"/>
    </row>
    <row r="299" spans="1:26" hidden="1">
      <c r="A299" s="92"/>
      <c r="B299" s="92"/>
      <c r="C299" s="92"/>
      <c r="D299" s="92"/>
      <c r="E299" s="92"/>
      <c r="F299" s="92"/>
      <c r="G299" s="92"/>
      <c r="H299" s="92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2"/>
    </row>
    <row r="300" spans="1:26" hidden="1">
      <c r="A300" s="92"/>
      <c r="B300" s="92"/>
      <c r="C300" s="92"/>
      <c r="D300" s="92"/>
      <c r="E300" s="92"/>
      <c r="F300" s="92"/>
      <c r="G300" s="92"/>
      <c r="H300" s="92"/>
      <c r="I300" s="92"/>
      <c r="J300" s="92"/>
      <c r="K300" s="92"/>
      <c r="L300" s="92"/>
      <c r="M300" s="92"/>
      <c r="N300" s="92"/>
      <c r="O300" s="92"/>
      <c r="P300" s="92"/>
      <c r="Q300" s="92"/>
      <c r="R300" s="92"/>
      <c r="S300" s="92"/>
      <c r="T300" s="92"/>
      <c r="U300" s="92"/>
      <c r="V300" s="92"/>
      <c r="W300" s="92"/>
      <c r="X300" s="92"/>
      <c r="Y300" s="92"/>
      <c r="Z300" s="92"/>
    </row>
    <row r="301" spans="1:26" hidden="1">
      <c r="A301" s="92"/>
      <c r="B301" s="92"/>
      <c r="C301" s="92"/>
      <c r="D301" s="92"/>
      <c r="E301" s="92"/>
      <c r="F301" s="92"/>
      <c r="G301" s="92"/>
      <c r="H301" s="92"/>
      <c r="I301" s="92"/>
      <c r="J301" s="92"/>
      <c r="K301" s="92"/>
      <c r="L301" s="92"/>
      <c r="M301" s="92"/>
      <c r="N301" s="92"/>
      <c r="O301" s="92"/>
      <c r="P301" s="92"/>
      <c r="Q301" s="92"/>
      <c r="R301" s="92"/>
      <c r="S301" s="92"/>
      <c r="T301" s="92"/>
      <c r="U301" s="92"/>
      <c r="V301" s="92"/>
      <c r="W301" s="92"/>
      <c r="X301" s="92"/>
      <c r="Y301" s="92"/>
      <c r="Z301" s="92"/>
    </row>
    <row r="302" spans="1:26" hidden="1">
      <c r="A302" s="92"/>
      <c r="B302" s="92"/>
      <c r="C302" s="92"/>
      <c r="D302" s="92"/>
      <c r="E302" s="92"/>
      <c r="F302" s="92"/>
      <c r="G302" s="92"/>
      <c r="H302" s="92"/>
      <c r="I302" s="92"/>
      <c r="J302" s="92"/>
      <c r="K302" s="92"/>
      <c r="L302" s="92"/>
      <c r="M302" s="92"/>
      <c r="N302" s="92"/>
      <c r="O302" s="92"/>
      <c r="P302" s="92"/>
      <c r="Q302" s="92"/>
      <c r="R302" s="92"/>
      <c r="S302" s="92"/>
      <c r="T302" s="92"/>
      <c r="U302" s="92"/>
      <c r="V302" s="92"/>
      <c r="W302" s="92"/>
      <c r="X302" s="92"/>
      <c r="Y302" s="92"/>
      <c r="Z302" s="92"/>
    </row>
    <row r="303" spans="1:26" hidden="1">
      <c r="A303" s="92"/>
      <c r="B303" s="92"/>
      <c r="C303" s="92"/>
      <c r="D303" s="92"/>
      <c r="E303" s="92"/>
      <c r="F303" s="92"/>
      <c r="G303" s="92"/>
      <c r="H303" s="92"/>
      <c r="I303" s="92"/>
      <c r="J303" s="92"/>
      <c r="K303" s="92"/>
      <c r="L303" s="92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  <c r="Z303" s="92"/>
    </row>
    <row r="304" spans="1:26" hidden="1">
      <c r="A304" s="92"/>
      <c r="B304" s="92"/>
      <c r="C304" s="92"/>
      <c r="D304" s="92"/>
      <c r="E304" s="92"/>
      <c r="F304" s="92"/>
      <c r="G304" s="92"/>
      <c r="H304" s="92"/>
      <c r="I304" s="92"/>
      <c r="J304" s="92"/>
      <c r="K304" s="92"/>
      <c r="L304" s="92"/>
      <c r="M304" s="92"/>
      <c r="N304" s="92"/>
      <c r="O304" s="92"/>
      <c r="P304" s="92"/>
      <c r="Q304" s="92"/>
      <c r="R304" s="92"/>
      <c r="S304" s="92"/>
      <c r="T304" s="92"/>
      <c r="U304" s="92"/>
      <c r="V304" s="92"/>
      <c r="W304" s="92"/>
      <c r="X304" s="92"/>
      <c r="Y304" s="92"/>
      <c r="Z304" s="92"/>
    </row>
    <row r="305" spans="1:26" hidden="1">
      <c r="A305" s="92"/>
      <c r="B305" s="92"/>
      <c r="C305" s="92"/>
      <c r="D305" s="92"/>
      <c r="E305" s="92"/>
      <c r="F305" s="92"/>
      <c r="G305" s="92"/>
      <c r="H305" s="92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2"/>
      <c r="Z305" s="92"/>
    </row>
    <row r="306" spans="1:26" hidden="1">
      <c r="A306" s="92"/>
      <c r="B306" s="92"/>
      <c r="C306" s="92"/>
      <c r="D306" s="92"/>
      <c r="E306" s="92"/>
      <c r="F306" s="92"/>
      <c r="G306" s="92"/>
      <c r="H306" s="92"/>
      <c r="I306" s="92"/>
      <c r="J306" s="92"/>
      <c r="K306" s="92"/>
      <c r="L306" s="92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  <c r="Z306" s="92"/>
    </row>
    <row r="307" spans="1:26" hidden="1">
      <c r="A307" s="92"/>
      <c r="B307" s="92"/>
      <c r="C307" s="92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</row>
    <row r="308" spans="1:26" hidden="1">
      <c r="A308" s="92"/>
      <c r="B308" s="92"/>
      <c r="C308" s="92"/>
      <c r="D308" s="92"/>
      <c r="E308" s="92"/>
      <c r="F308" s="92"/>
      <c r="G308" s="92"/>
      <c r="H308" s="92"/>
      <c r="I308" s="92"/>
      <c r="J308" s="92"/>
      <c r="K308" s="92"/>
      <c r="L308" s="92"/>
      <c r="M308" s="92"/>
      <c r="N308" s="92"/>
      <c r="O308" s="92"/>
      <c r="P308" s="92"/>
      <c r="Q308" s="92"/>
      <c r="R308" s="92"/>
      <c r="S308" s="92"/>
      <c r="T308" s="92"/>
      <c r="U308" s="92"/>
      <c r="V308" s="92"/>
      <c r="W308" s="92"/>
      <c r="X308" s="92"/>
      <c r="Y308" s="92"/>
      <c r="Z308" s="92"/>
    </row>
    <row r="309" spans="1:26" hidden="1">
      <c r="A309" s="92"/>
      <c r="B309" s="92"/>
      <c r="C309" s="92"/>
      <c r="D309" s="92"/>
      <c r="E309" s="92"/>
      <c r="F309" s="92"/>
      <c r="G309" s="92"/>
      <c r="H309" s="92"/>
      <c r="I309" s="92"/>
      <c r="J309" s="92"/>
      <c r="K309" s="92"/>
      <c r="L309" s="92"/>
      <c r="M309" s="92"/>
      <c r="N309" s="92"/>
      <c r="O309" s="92"/>
      <c r="P309" s="92"/>
      <c r="Q309" s="92"/>
      <c r="R309" s="92"/>
      <c r="S309" s="92"/>
      <c r="T309" s="92"/>
      <c r="U309" s="92"/>
      <c r="V309" s="92"/>
      <c r="W309" s="92"/>
      <c r="X309" s="92"/>
      <c r="Y309" s="92"/>
      <c r="Z309" s="92"/>
    </row>
    <row r="310" spans="1:26" hidden="1">
      <c r="A310" s="92"/>
      <c r="B310" s="92"/>
      <c r="C310" s="92"/>
      <c r="D310" s="92"/>
      <c r="E310" s="92"/>
      <c r="F310" s="92"/>
      <c r="G310" s="92"/>
      <c r="H310" s="92"/>
      <c r="I310" s="92"/>
      <c r="J310" s="92"/>
      <c r="K310" s="92"/>
      <c r="L310" s="92"/>
      <c r="M310" s="92"/>
      <c r="N310" s="92"/>
      <c r="O310" s="92"/>
      <c r="P310" s="92"/>
      <c r="Q310" s="92"/>
      <c r="R310" s="92"/>
      <c r="S310" s="92"/>
      <c r="T310" s="92"/>
      <c r="U310" s="92"/>
      <c r="V310" s="92"/>
      <c r="W310" s="92"/>
      <c r="X310" s="92"/>
      <c r="Y310" s="92"/>
      <c r="Z310" s="92"/>
    </row>
    <row r="311" spans="1:26" hidden="1">
      <c r="A311" s="92"/>
      <c r="B311" s="92"/>
      <c r="C311" s="92"/>
      <c r="D311" s="92"/>
      <c r="E311" s="92"/>
      <c r="F311" s="92"/>
      <c r="G311" s="92"/>
      <c r="H311" s="92"/>
      <c r="I311" s="92"/>
      <c r="J311" s="92"/>
      <c r="K311" s="92"/>
      <c r="L311" s="92"/>
      <c r="M311" s="92"/>
      <c r="N311" s="92"/>
      <c r="O311" s="92"/>
      <c r="P311" s="92"/>
      <c r="Q311" s="92"/>
      <c r="R311" s="92"/>
      <c r="S311" s="92"/>
      <c r="T311" s="92"/>
      <c r="U311" s="92"/>
      <c r="V311" s="92"/>
      <c r="W311" s="92"/>
      <c r="X311" s="92"/>
      <c r="Y311" s="92"/>
      <c r="Z311" s="92"/>
    </row>
    <row r="312" spans="1:26" hidden="1">
      <c r="A312" s="92"/>
      <c r="B312" s="92"/>
      <c r="C312" s="92"/>
      <c r="D312" s="92"/>
      <c r="E312" s="92"/>
      <c r="F312" s="92"/>
      <c r="G312" s="92"/>
      <c r="H312" s="92"/>
      <c r="I312" s="92"/>
      <c r="J312" s="92"/>
      <c r="K312" s="92"/>
      <c r="L312" s="92"/>
      <c r="M312" s="92"/>
      <c r="N312" s="92"/>
      <c r="O312" s="92"/>
      <c r="P312" s="92"/>
      <c r="Q312" s="92"/>
      <c r="R312" s="92"/>
      <c r="S312" s="92"/>
      <c r="T312" s="92"/>
      <c r="U312" s="92"/>
      <c r="V312" s="92"/>
      <c r="W312" s="92"/>
      <c r="X312" s="92"/>
      <c r="Y312" s="92"/>
      <c r="Z312" s="92"/>
    </row>
    <row r="313" spans="1:26" hidden="1">
      <c r="A313" s="92"/>
      <c r="B313" s="92"/>
      <c r="C313" s="92"/>
      <c r="D313" s="92"/>
      <c r="E313" s="92"/>
      <c r="F313" s="92"/>
      <c r="G313" s="92"/>
      <c r="H313" s="92"/>
      <c r="I313" s="92"/>
      <c r="J313" s="92"/>
      <c r="K313" s="92"/>
      <c r="L313" s="92"/>
      <c r="M313" s="92"/>
      <c r="N313" s="92"/>
      <c r="O313" s="92"/>
      <c r="P313" s="92"/>
      <c r="Q313" s="92"/>
      <c r="R313" s="92"/>
      <c r="S313" s="92"/>
      <c r="T313" s="92"/>
      <c r="U313" s="92"/>
      <c r="V313" s="92"/>
      <c r="W313" s="92"/>
      <c r="X313" s="92"/>
      <c r="Y313" s="92"/>
      <c r="Z313" s="92"/>
    </row>
    <row r="314" spans="1:26" hidden="1">
      <c r="A314" s="92"/>
      <c r="B314" s="92"/>
      <c r="C314" s="92"/>
      <c r="D314" s="92"/>
      <c r="E314" s="92"/>
      <c r="F314" s="92"/>
      <c r="G314" s="92"/>
      <c r="H314" s="92"/>
      <c r="I314" s="92"/>
      <c r="J314" s="92"/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2"/>
      <c r="Z314" s="92"/>
    </row>
    <row r="315" spans="1:26" hidden="1">
      <c r="A315" s="92"/>
      <c r="B315" s="92"/>
      <c r="C315" s="92"/>
      <c r="D315" s="92"/>
      <c r="E315" s="92"/>
      <c r="F315" s="92"/>
      <c r="G315" s="92"/>
      <c r="H315" s="92"/>
      <c r="I315" s="92"/>
      <c r="J315" s="92"/>
      <c r="K315" s="92"/>
      <c r="L315" s="92"/>
      <c r="M315" s="92"/>
      <c r="N315" s="92"/>
      <c r="O315" s="92"/>
      <c r="P315" s="92"/>
      <c r="Q315" s="92"/>
      <c r="R315" s="92"/>
      <c r="S315" s="92"/>
      <c r="T315" s="92"/>
      <c r="U315" s="92"/>
      <c r="V315" s="92"/>
      <c r="W315" s="92"/>
      <c r="X315" s="92"/>
      <c r="Y315" s="92"/>
      <c r="Z315" s="92"/>
    </row>
    <row r="316" spans="1:26" hidden="1">
      <c r="A316" s="92"/>
      <c r="B316" s="92"/>
      <c r="C316" s="92"/>
      <c r="D316" s="92"/>
      <c r="E316" s="92"/>
      <c r="F316" s="92"/>
      <c r="G316" s="92"/>
      <c r="H316" s="92"/>
      <c r="I316" s="92"/>
      <c r="J316" s="92"/>
      <c r="K316" s="92"/>
      <c r="L316" s="92"/>
      <c r="M316" s="92"/>
      <c r="N316" s="92"/>
      <c r="O316" s="92"/>
      <c r="P316" s="92"/>
      <c r="Q316" s="92"/>
      <c r="R316" s="92"/>
      <c r="S316" s="92"/>
      <c r="T316" s="92"/>
      <c r="U316" s="92"/>
      <c r="V316" s="92"/>
      <c r="W316" s="92"/>
      <c r="X316" s="92"/>
      <c r="Y316" s="92"/>
      <c r="Z316" s="92"/>
    </row>
    <row r="317" spans="1:26" hidden="1">
      <c r="A317" s="92"/>
      <c r="B317" s="92"/>
      <c r="C317" s="92"/>
      <c r="D317" s="92"/>
      <c r="E317" s="92"/>
      <c r="F317" s="92"/>
      <c r="G317" s="92"/>
      <c r="H317" s="92"/>
      <c r="I317" s="92"/>
      <c r="J317" s="92"/>
      <c r="K317" s="92"/>
      <c r="L317" s="92"/>
      <c r="M317" s="92"/>
      <c r="N317" s="92"/>
      <c r="O317" s="92"/>
      <c r="P317" s="92"/>
      <c r="Q317" s="92"/>
      <c r="R317" s="92"/>
      <c r="S317" s="92"/>
      <c r="T317" s="92"/>
      <c r="U317" s="92"/>
      <c r="V317" s="92"/>
      <c r="W317" s="92"/>
      <c r="X317" s="92"/>
      <c r="Y317" s="92"/>
      <c r="Z317" s="92"/>
    </row>
    <row r="318" spans="1:26" hidden="1">
      <c r="A318" s="92"/>
      <c r="B318" s="92"/>
      <c r="C318" s="92"/>
      <c r="D318" s="92"/>
      <c r="E318" s="92"/>
      <c r="F318" s="92"/>
      <c r="G318" s="92"/>
      <c r="H318" s="92"/>
      <c r="I318" s="92"/>
      <c r="J318" s="92"/>
      <c r="K318" s="92"/>
      <c r="L318" s="92"/>
      <c r="M318" s="92"/>
      <c r="N318" s="92"/>
      <c r="O318" s="92"/>
      <c r="P318" s="92"/>
      <c r="Q318" s="92"/>
      <c r="R318" s="92"/>
      <c r="S318" s="92"/>
      <c r="T318" s="92"/>
      <c r="U318" s="92"/>
      <c r="V318" s="92"/>
      <c r="W318" s="92"/>
      <c r="X318" s="92"/>
      <c r="Y318" s="92"/>
      <c r="Z318" s="92"/>
    </row>
    <row r="319" spans="1:26" hidden="1">
      <c r="A319" s="92"/>
      <c r="B319" s="92"/>
      <c r="C319" s="92"/>
      <c r="D319" s="92"/>
      <c r="E319" s="92"/>
      <c r="F319" s="92"/>
      <c r="G319" s="92"/>
      <c r="H319" s="92"/>
      <c r="I319" s="92"/>
      <c r="J319" s="92"/>
      <c r="K319" s="92"/>
      <c r="L319" s="92"/>
      <c r="M319" s="92"/>
      <c r="N319" s="92"/>
      <c r="O319" s="92"/>
      <c r="P319" s="92"/>
      <c r="Q319" s="92"/>
      <c r="R319" s="92"/>
      <c r="S319" s="92"/>
      <c r="T319" s="92"/>
      <c r="U319" s="92"/>
      <c r="V319" s="92"/>
      <c r="W319" s="92"/>
      <c r="X319" s="92"/>
      <c r="Y319" s="92"/>
      <c r="Z319" s="92"/>
    </row>
    <row r="320" spans="1:26" hidden="1">
      <c r="A320" s="92"/>
      <c r="B320" s="92"/>
      <c r="C320" s="92"/>
      <c r="D320" s="92"/>
      <c r="E320" s="92"/>
      <c r="F320" s="92"/>
      <c r="G320" s="92"/>
      <c r="H320" s="92"/>
      <c r="I320" s="92"/>
      <c r="J320" s="92"/>
      <c r="K320" s="92"/>
      <c r="L320" s="92"/>
      <c r="M320" s="92"/>
      <c r="N320" s="92"/>
      <c r="O320" s="92"/>
      <c r="P320" s="92"/>
      <c r="Q320" s="92"/>
      <c r="R320" s="92"/>
      <c r="S320" s="92"/>
      <c r="T320" s="92"/>
      <c r="U320" s="92"/>
      <c r="V320" s="92"/>
      <c r="W320" s="92"/>
      <c r="X320" s="92"/>
      <c r="Y320" s="92"/>
      <c r="Z320" s="92"/>
    </row>
    <row r="321" spans="1:26" hidden="1">
      <c r="A321" s="92"/>
      <c r="B321" s="92"/>
      <c r="C321" s="92"/>
      <c r="D321" s="92"/>
      <c r="E321" s="92"/>
      <c r="F321" s="92"/>
      <c r="G321" s="92"/>
      <c r="H321" s="92"/>
      <c r="I321" s="92"/>
      <c r="J321" s="92"/>
      <c r="K321" s="92"/>
      <c r="L321" s="92"/>
      <c r="M321" s="92"/>
      <c r="N321" s="92"/>
      <c r="O321" s="92"/>
      <c r="P321" s="92"/>
      <c r="Q321" s="92"/>
      <c r="R321" s="92"/>
      <c r="S321" s="92"/>
      <c r="T321" s="92"/>
      <c r="U321" s="92"/>
      <c r="V321" s="92"/>
      <c r="W321" s="92"/>
      <c r="X321" s="92"/>
      <c r="Y321" s="92"/>
      <c r="Z321" s="92"/>
    </row>
    <row r="322" spans="1:26" hidden="1">
      <c r="A322" s="92"/>
      <c r="B322" s="92"/>
      <c r="C322" s="92"/>
      <c r="D322" s="92"/>
      <c r="E322" s="92"/>
      <c r="F322" s="92"/>
      <c r="G322" s="92"/>
      <c r="H322" s="92"/>
      <c r="I322" s="92"/>
      <c r="J322" s="92"/>
      <c r="K322" s="92"/>
      <c r="L322" s="92"/>
      <c r="M322" s="92"/>
      <c r="N322" s="92"/>
      <c r="O322" s="92"/>
      <c r="P322" s="92"/>
      <c r="Q322" s="92"/>
      <c r="R322" s="92"/>
      <c r="S322" s="92"/>
      <c r="T322" s="92"/>
      <c r="U322" s="92"/>
      <c r="V322" s="92"/>
      <c r="W322" s="92"/>
      <c r="X322" s="92"/>
      <c r="Y322" s="92"/>
      <c r="Z322" s="92"/>
    </row>
    <row r="323" spans="1:26" hidden="1">
      <c r="A323" s="92"/>
      <c r="B323" s="92"/>
      <c r="C323" s="92"/>
      <c r="D323" s="92"/>
      <c r="E323" s="92"/>
      <c r="F323" s="92"/>
      <c r="G323" s="92"/>
      <c r="H323" s="92"/>
      <c r="I323" s="92"/>
      <c r="J323" s="92"/>
      <c r="K323" s="92"/>
      <c r="L323" s="92"/>
      <c r="M323" s="92"/>
      <c r="N323" s="92"/>
      <c r="O323" s="92"/>
      <c r="P323" s="92"/>
      <c r="Q323" s="92"/>
      <c r="R323" s="92"/>
      <c r="S323" s="92"/>
      <c r="T323" s="92"/>
      <c r="U323" s="92"/>
      <c r="V323" s="92"/>
      <c r="W323" s="92"/>
      <c r="X323" s="92"/>
      <c r="Y323" s="92"/>
      <c r="Z323" s="92"/>
    </row>
    <row r="324" spans="1:26" hidden="1">
      <c r="A324" s="92"/>
      <c r="B324" s="92"/>
      <c r="C324" s="92"/>
      <c r="D324" s="92"/>
      <c r="E324" s="92"/>
      <c r="F324" s="92"/>
      <c r="G324" s="92"/>
      <c r="H324" s="92"/>
      <c r="I324" s="92"/>
      <c r="J324" s="92"/>
      <c r="K324" s="92"/>
      <c r="L324" s="92"/>
      <c r="M324" s="92"/>
      <c r="N324" s="92"/>
      <c r="O324" s="92"/>
      <c r="P324" s="92"/>
      <c r="Q324" s="92"/>
      <c r="R324" s="92"/>
      <c r="S324" s="92"/>
      <c r="T324" s="92"/>
      <c r="U324" s="92"/>
      <c r="V324" s="92"/>
      <c r="W324" s="92"/>
      <c r="X324" s="92"/>
      <c r="Y324" s="92"/>
      <c r="Z324" s="92"/>
    </row>
    <row r="325" spans="1:26" hidden="1">
      <c r="A325" s="92"/>
      <c r="B325" s="92"/>
      <c r="C325" s="92"/>
      <c r="D325" s="92"/>
      <c r="E325" s="92"/>
      <c r="F325" s="92"/>
      <c r="G325" s="92"/>
      <c r="H325" s="92"/>
      <c r="I325" s="92"/>
      <c r="J325" s="92"/>
      <c r="K325" s="92"/>
      <c r="L325" s="92"/>
      <c r="M325" s="92"/>
      <c r="N325" s="92"/>
      <c r="O325" s="92"/>
      <c r="P325" s="92"/>
      <c r="Q325" s="92"/>
      <c r="R325" s="92"/>
      <c r="S325" s="92"/>
      <c r="T325" s="92"/>
      <c r="U325" s="92"/>
      <c r="V325" s="92"/>
      <c r="W325" s="92"/>
      <c r="X325" s="92"/>
      <c r="Y325" s="92"/>
      <c r="Z325" s="92"/>
    </row>
    <row r="326" spans="1:26" hidden="1">
      <c r="A326" s="92"/>
      <c r="B326" s="92"/>
      <c r="C326" s="92"/>
      <c r="D326" s="92"/>
      <c r="E326" s="92"/>
      <c r="F326" s="92"/>
      <c r="G326" s="92"/>
      <c r="H326" s="92"/>
      <c r="I326" s="92"/>
      <c r="J326" s="92"/>
      <c r="K326" s="92"/>
      <c r="L326" s="92"/>
      <c r="M326" s="92"/>
      <c r="N326" s="92"/>
      <c r="O326" s="92"/>
      <c r="P326" s="92"/>
      <c r="Q326" s="92"/>
      <c r="R326" s="92"/>
      <c r="S326" s="92"/>
      <c r="T326" s="92"/>
      <c r="U326" s="92"/>
      <c r="V326" s="92"/>
      <c r="W326" s="92"/>
      <c r="X326" s="92"/>
      <c r="Y326" s="92"/>
      <c r="Z326" s="92"/>
    </row>
    <row r="327" spans="1:26" hidden="1">
      <c r="A327" s="92"/>
      <c r="B327" s="92"/>
      <c r="C327" s="92"/>
      <c r="D327" s="92"/>
      <c r="E327" s="92"/>
      <c r="F327" s="92"/>
      <c r="G327" s="92"/>
      <c r="H327" s="92"/>
      <c r="I327" s="92"/>
      <c r="J327" s="92"/>
      <c r="K327" s="92"/>
      <c r="L327" s="92"/>
      <c r="M327" s="92"/>
      <c r="N327" s="92"/>
      <c r="O327" s="92"/>
      <c r="P327" s="92"/>
      <c r="Q327" s="92"/>
      <c r="R327" s="92"/>
      <c r="S327" s="92"/>
      <c r="T327" s="92"/>
      <c r="U327" s="92"/>
      <c r="V327" s="92"/>
      <c r="W327" s="92"/>
      <c r="X327" s="92"/>
      <c r="Y327" s="92"/>
      <c r="Z327" s="92"/>
    </row>
    <row r="328" spans="1:26" hidden="1">
      <c r="A328" s="92"/>
      <c r="B328" s="92"/>
      <c r="C328" s="92"/>
      <c r="D328" s="92"/>
      <c r="E328" s="92"/>
      <c r="F328" s="92"/>
      <c r="G328" s="92"/>
      <c r="H328" s="92"/>
      <c r="I328" s="92"/>
      <c r="J328" s="92"/>
      <c r="K328" s="92"/>
      <c r="L328" s="92"/>
      <c r="M328" s="92"/>
      <c r="N328" s="92"/>
      <c r="O328" s="92"/>
      <c r="P328" s="92"/>
      <c r="Q328" s="92"/>
      <c r="R328" s="92"/>
      <c r="S328" s="92"/>
      <c r="T328" s="92"/>
      <c r="U328" s="92"/>
      <c r="V328" s="92"/>
      <c r="W328" s="92"/>
      <c r="X328" s="92"/>
      <c r="Y328" s="92"/>
      <c r="Z328" s="92"/>
    </row>
    <row r="329" spans="1:26" hidden="1">
      <c r="A329" s="92"/>
      <c r="B329" s="92"/>
      <c r="C329" s="92"/>
      <c r="D329" s="92"/>
      <c r="E329" s="92"/>
      <c r="F329" s="92"/>
      <c r="G329" s="92"/>
      <c r="H329" s="92"/>
      <c r="I329" s="92"/>
      <c r="J329" s="92"/>
      <c r="K329" s="92"/>
      <c r="L329" s="92"/>
      <c r="M329" s="92"/>
      <c r="N329" s="92"/>
      <c r="O329" s="92"/>
      <c r="P329" s="92"/>
      <c r="Q329" s="92"/>
      <c r="R329" s="92"/>
      <c r="S329" s="92"/>
      <c r="T329" s="92"/>
      <c r="U329" s="92"/>
      <c r="V329" s="92"/>
      <c r="W329" s="92"/>
      <c r="X329" s="92"/>
      <c r="Y329" s="92"/>
      <c r="Z329" s="92"/>
    </row>
    <row r="330" spans="1:26" hidden="1">
      <c r="A330" s="92"/>
      <c r="B330" s="92"/>
      <c r="C330" s="92"/>
      <c r="D330" s="92"/>
      <c r="E330" s="92"/>
      <c r="F330" s="92"/>
      <c r="G330" s="92"/>
      <c r="H330" s="92"/>
      <c r="I330" s="92"/>
      <c r="J330" s="92"/>
      <c r="K330" s="92"/>
      <c r="L330" s="92"/>
      <c r="M330" s="92"/>
      <c r="N330" s="92"/>
      <c r="O330" s="92"/>
      <c r="P330" s="92"/>
      <c r="Q330" s="92"/>
      <c r="R330" s="92"/>
      <c r="S330" s="92"/>
      <c r="T330" s="92"/>
      <c r="U330" s="92"/>
      <c r="V330" s="92"/>
      <c r="W330" s="92"/>
      <c r="X330" s="92"/>
      <c r="Y330" s="92"/>
      <c r="Z330" s="92"/>
    </row>
    <row r="331" spans="1:26" hidden="1">
      <c r="A331" s="92"/>
      <c r="B331" s="92"/>
      <c r="C331" s="92"/>
      <c r="D331" s="92"/>
      <c r="E331" s="92"/>
      <c r="F331" s="92"/>
      <c r="G331" s="92"/>
      <c r="H331" s="92"/>
      <c r="I331" s="92"/>
      <c r="J331" s="92"/>
      <c r="K331" s="92"/>
      <c r="L331" s="92"/>
      <c r="M331" s="92"/>
      <c r="N331" s="92"/>
      <c r="O331" s="92"/>
      <c r="P331" s="92"/>
      <c r="Q331" s="92"/>
      <c r="R331" s="92"/>
      <c r="S331" s="92"/>
      <c r="T331" s="92"/>
      <c r="U331" s="92"/>
      <c r="V331" s="92"/>
      <c r="W331" s="92"/>
      <c r="X331" s="92"/>
      <c r="Y331" s="92"/>
      <c r="Z331" s="92"/>
    </row>
    <row r="332" spans="1:26" hidden="1">
      <c r="A332" s="92"/>
      <c r="B332" s="92"/>
      <c r="C332" s="92"/>
      <c r="D332" s="92"/>
      <c r="E332" s="92"/>
      <c r="F332" s="92"/>
      <c r="G332" s="92"/>
      <c r="H332" s="92"/>
      <c r="I332" s="92"/>
      <c r="J332" s="92"/>
      <c r="K332" s="92"/>
      <c r="L332" s="92"/>
      <c r="M332" s="92"/>
      <c r="N332" s="92"/>
      <c r="O332" s="92"/>
      <c r="P332" s="92"/>
      <c r="Q332" s="92"/>
      <c r="R332" s="92"/>
      <c r="S332" s="92"/>
      <c r="T332" s="92"/>
      <c r="U332" s="92"/>
      <c r="V332" s="92"/>
      <c r="W332" s="92"/>
      <c r="X332" s="92"/>
      <c r="Y332" s="92"/>
      <c r="Z332" s="92"/>
    </row>
    <row r="333" spans="1:26" hidden="1">
      <c r="A333" s="92"/>
      <c r="B333" s="92"/>
      <c r="C333" s="92"/>
      <c r="D333" s="92"/>
      <c r="E333" s="92"/>
      <c r="F333" s="92"/>
      <c r="G333" s="92"/>
      <c r="H333" s="92"/>
      <c r="I333" s="92"/>
      <c r="J333" s="92"/>
      <c r="K333" s="92"/>
      <c r="L333" s="92"/>
      <c r="M333" s="92"/>
      <c r="N333" s="92"/>
      <c r="O333" s="92"/>
      <c r="P333" s="92"/>
      <c r="Q333" s="92"/>
      <c r="R333" s="92"/>
      <c r="S333" s="92"/>
      <c r="T333" s="92"/>
      <c r="U333" s="92"/>
      <c r="V333" s="92"/>
      <c r="W333" s="92"/>
      <c r="X333" s="92"/>
      <c r="Y333" s="92"/>
      <c r="Z333" s="92"/>
    </row>
    <row r="334" spans="1:26" hidden="1">
      <c r="A334" s="92"/>
      <c r="B334" s="92"/>
      <c r="C334" s="92"/>
      <c r="D334" s="92"/>
      <c r="E334" s="92"/>
      <c r="F334" s="92"/>
      <c r="G334" s="92"/>
      <c r="H334" s="92"/>
      <c r="I334" s="92"/>
      <c r="J334" s="92"/>
      <c r="K334" s="92"/>
      <c r="L334" s="92"/>
      <c r="M334" s="92"/>
      <c r="N334" s="92"/>
      <c r="O334" s="92"/>
      <c r="P334" s="92"/>
      <c r="Q334" s="92"/>
      <c r="R334" s="92"/>
      <c r="S334" s="92"/>
      <c r="T334" s="92"/>
      <c r="U334" s="92"/>
      <c r="V334" s="92"/>
      <c r="W334" s="92"/>
      <c r="X334" s="92"/>
      <c r="Y334" s="92"/>
      <c r="Z334" s="92"/>
    </row>
    <row r="335" spans="1:26" hidden="1">
      <c r="A335" s="92"/>
      <c r="B335" s="92"/>
      <c r="C335" s="92"/>
      <c r="D335" s="92"/>
      <c r="E335" s="92"/>
      <c r="F335" s="92"/>
      <c r="G335" s="92"/>
      <c r="H335" s="92"/>
      <c r="I335" s="92"/>
      <c r="J335" s="92"/>
      <c r="K335" s="92"/>
      <c r="L335" s="92"/>
      <c r="M335" s="92"/>
      <c r="N335" s="92"/>
      <c r="O335" s="92"/>
      <c r="P335" s="92"/>
      <c r="Q335" s="92"/>
      <c r="R335" s="92"/>
      <c r="S335" s="92"/>
      <c r="T335" s="92"/>
      <c r="U335" s="92"/>
      <c r="V335" s="92"/>
      <c r="W335" s="92"/>
      <c r="X335" s="92"/>
      <c r="Y335" s="92"/>
      <c r="Z335" s="92"/>
    </row>
    <row r="336" spans="1:26" hidden="1">
      <c r="A336" s="92"/>
      <c r="B336" s="92"/>
      <c r="C336" s="92"/>
      <c r="D336" s="92"/>
      <c r="E336" s="92"/>
      <c r="F336" s="92"/>
      <c r="G336" s="92"/>
      <c r="H336" s="92"/>
      <c r="I336" s="92"/>
      <c r="J336" s="92"/>
      <c r="K336" s="92"/>
      <c r="L336" s="92"/>
      <c r="M336" s="92"/>
      <c r="N336" s="92"/>
      <c r="O336" s="92"/>
      <c r="P336" s="92"/>
      <c r="Q336" s="92"/>
      <c r="R336" s="92"/>
      <c r="S336" s="92"/>
      <c r="T336" s="92"/>
      <c r="U336" s="92"/>
      <c r="V336" s="92"/>
      <c r="W336" s="92"/>
      <c r="X336" s="92"/>
      <c r="Y336" s="92"/>
      <c r="Z336" s="92"/>
    </row>
    <row r="337" spans="1:26" hidden="1">
      <c r="A337" s="92"/>
      <c r="B337" s="92"/>
      <c r="C337" s="92"/>
      <c r="D337" s="92"/>
      <c r="E337" s="92"/>
      <c r="F337" s="92"/>
      <c r="G337" s="92"/>
      <c r="H337" s="92"/>
      <c r="I337" s="92"/>
      <c r="J337" s="92"/>
      <c r="K337" s="92"/>
      <c r="L337" s="92"/>
      <c r="M337" s="92"/>
      <c r="N337" s="92"/>
      <c r="O337" s="92"/>
      <c r="P337" s="92"/>
      <c r="Q337" s="92"/>
      <c r="R337" s="92"/>
      <c r="S337" s="92"/>
      <c r="T337" s="92"/>
      <c r="U337" s="92"/>
      <c r="V337" s="92"/>
      <c r="W337" s="92"/>
      <c r="X337" s="92"/>
      <c r="Y337" s="92"/>
      <c r="Z337" s="92"/>
    </row>
    <row r="338" spans="1:26" hidden="1">
      <c r="A338" s="92"/>
      <c r="B338" s="92"/>
      <c r="C338" s="92"/>
      <c r="D338" s="92"/>
      <c r="E338" s="92"/>
      <c r="F338" s="92"/>
      <c r="G338" s="92"/>
      <c r="H338" s="92"/>
      <c r="I338" s="92"/>
      <c r="J338" s="92"/>
      <c r="K338" s="92"/>
      <c r="L338" s="92"/>
      <c r="M338" s="92"/>
      <c r="N338" s="92"/>
      <c r="O338" s="92"/>
      <c r="P338" s="92"/>
      <c r="Q338" s="92"/>
      <c r="R338" s="92"/>
      <c r="S338" s="92"/>
      <c r="T338" s="92"/>
      <c r="U338" s="92"/>
      <c r="V338" s="92"/>
      <c r="W338" s="92"/>
      <c r="X338" s="92"/>
      <c r="Y338" s="92"/>
      <c r="Z338" s="92"/>
    </row>
    <row r="339" spans="1:26" hidden="1">
      <c r="A339" s="92"/>
      <c r="B339" s="92"/>
      <c r="C339" s="92"/>
      <c r="D339" s="92"/>
      <c r="E339" s="92"/>
      <c r="F339" s="92"/>
      <c r="G339" s="92"/>
      <c r="H339" s="92"/>
      <c r="I339" s="92"/>
      <c r="J339" s="92"/>
      <c r="K339" s="92"/>
      <c r="L339" s="92"/>
      <c r="M339" s="92"/>
      <c r="N339" s="92"/>
      <c r="O339" s="92"/>
      <c r="P339" s="92"/>
      <c r="Q339" s="92"/>
      <c r="R339" s="92"/>
      <c r="S339" s="92"/>
      <c r="T339" s="92"/>
      <c r="U339" s="92"/>
      <c r="V339" s="92"/>
      <c r="W339" s="92"/>
      <c r="X339" s="92"/>
      <c r="Y339" s="92"/>
      <c r="Z339" s="92"/>
    </row>
    <row r="340" spans="1:26" hidden="1">
      <c r="A340" s="92"/>
      <c r="B340" s="92"/>
      <c r="C340" s="92"/>
      <c r="D340" s="92"/>
      <c r="E340" s="92"/>
      <c r="F340" s="92"/>
      <c r="G340" s="92"/>
      <c r="H340" s="92"/>
      <c r="I340" s="92"/>
      <c r="J340" s="92"/>
      <c r="K340" s="92"/>
      <c r="L340" s="92"/>
      <c r="M340" s="92"/>
      <c r="N340" s="92"/>
      <c r="O340" s="92"/>
      <c r="P340" s="92"/>
      <c r="Q340" s="92"/>
      <c r="R340" s="92"/>
      <c r="S340" s="92"/>
      <c r="T340" s="92"/>
      <c r="U340" s="92"/>
      <c r="V340" s="92"/>
      <c r="W340" s="92"/>
      <c r="X340" s="92"/>
      <c r="Y340" s="92"/>
      <c r="Z340" s="92"/>
    </row>
    <row r="341" spans="1:26" hidden="1">
      <c r="A341" s="92"/>
      <c r="B341" s="92"/>
      <c r="C341" s="92"/>
      <c r="D341" s="92"/>
      <c r="E341" s="92"/>
      <c r="F341" s="92"/>
      <c r="G341" s="92"/>
      <c r="H341" s="92"/>
      <c r="I341" s="92"/>
      <c r="J341" s="92"/>
      <c r="K341" s="92"/>
      <c r="L341" s="92"/>
      <c r="M341" s="92"/>
      <c r="N341" s="92"/>
      <c r="O341" s="92"/>
      <c r="P341" s="92"/>
      <c r="Q341" s="92"/>
      <c r="R341" s="92"/>
      <c r="S341" s="92"/>
      <c r="T341" s="92"/>
      <c r="U341" s="92"/>
      <c r="V341" s="92"/>
      <c r="W341" s="92"/>
      <c r="X341" s="92"/>
      <c r="Y341" s="92"/>
      <c r="Z341" s="92"/>
    </row>
    <row r="342" spans="1:26" hidden="1">
      <c r="A342" s="92"/>
      <c r="B342" s="92"/>
      <c r="C342" s="92"/>
      <c r="D342" s="92"/>
      <c r="E342" s="92"/>
      <c r="F342" s="92"/>
      <c r="G342" s="92"/>
      <c r="H342" s="92"/>
      <c r="I342" s="92"/>
      <c r="J342" s="92"/>
      <c r="K342" s="92"/>
      <c r="L342" s="92"/>
      <c r="M342" s="92"/>
      <c r="N342" s="92"/>
      <c r="O342" s="92"/>
      <c r="P342" s="92"/>
      <c r="Q342" s="92"/>
      <c r="R342" s="92"/>
      <c r="S342" s="92"/>
      <c r="T342" s="92"/>
      <c r="U342" s="92"/>
      <c r="V342" s="92"/>
      <c r="W342" s="92"/>
      <c r="X342" s="92"/>
      <c r="Y342" s="92"/>
      <c r="Z342" s="92"/>
    </row>
    <row r="343" spans="1:26" hidden="1">
      <c r="A343" s="92"/>
      <c r="B343" s="92"/>
      <c r="C343" s="92"/>
      <c r="D343" s="92"/>
      <c r="E343" s="92"/>
      <c r="F343" s="92"/>
      <c r="G343" s="92"/>
      <c r="H343" s="92"/>
      <c r="I343" s="92"/>
      <c r="J343" s="92"/>
      <c r="K343" s="92"/>
      <c r="L343" s="92"/>
      <c r="M343" s="92"/>
      <c r="N343" s="92"/>
      <c r="O343" s="92"/>
      <c r="P343" s="92"/>
      <c r="Q343" s="92"/>
      <c r="R343" s="92"/>
      <c r="S343" s="92"/>
      <c r="T343" s="92"/>
      <c r="U343" s="92"/>
      <c r="V343" s="92"/>
      <c r="W343" s="92"/>
      <c r="X343" s="92"/>
      <c r="Y343" s="92"/>
      <c r="Z343" s="92"/>
    </row>
    <row r="344" spans="1:26" hidden="1">
      <c r="A344" s="92"/>
      <c r="B344" s="92"/>
      <c r="C344" s="92"/>
      <c r="D344" s="92"/>
      <c r="E344" s="92"/>
      <c r="F344" s="92"/>
      <c r="G344" s="92"/>
      <c r="H344" s="92"/>
      <c r="I344" s="92"/>
      <c r="J344" s="92"/>
      <c r="K344" s="92"/>
      <c r="L344" s="92"/>
      <c r="M344" s="92"/>
      <c r="N344" s="92"/>
      <c r="O344" s="92"/>
      <c r="P344" s="92"/>
      <c r="Q344" s="92"/>
      <c r="R344" s="92"/>
      <c r="S344" s="92"/>
      <c r="T344" s="92"/>
      <c r="U344" s="92"/>
      <c r="V344" s="92"/>
      <c r="W344" s="92"/>
      <c r="X344" s="92"/>
      <c r="Y344" s="92"/>
      <c r="Z344" s="92"/>
    </row>
    <row r="345" spans="1:26" hidden="1">
      <c r="A345" s="92"/>
      <c r="B345" s="92"/>
      <c r="C345" s="92"/>
      <c r="D345" s="92"/>
      <c r="E345" s="92"/>
      <c r="F345" s="92"/>
      <c r="G345" s="92"/>
      <c r="H345" s="92"/>
      <c r="I345" s="92"/>
      <c r="J345" s="92"/>
      <c r="K345" s="92"/>
      <c r="L345" s="92"/>
      <c r="M345" s="92"/>
      <c r="N345" s="92"/>
      <c r="O345" s="92"/>
      <c r="P345" s="92"/>
      <c r="Q345" s="92"/>
      <c r="R345" s="92"/>
      <c r="S345" s="92"/>
      <c r="T345" s="92"/>
      <c r="U345" s="92"/>
      <c r="V345" s="92"/>
      <c r="W345" s="92"/>
      <c r="X345" s="92"/>
      <c r="Y345" s="92"/>
      <c r="Z345" s="92"/>
    </row>
    <row r="346" spans="1:26" hidden="1">
      <c r="A346" s="92"/>
      <c r="B346" s="92"/>
      <c r="C346" s="92"/>
      <c r="D346" s="92"/>
      <c r="E346" s="92"/>
      <c r="F346" s="92"/>
      <c r="G346" s="92"/>
      <c r="H346" s="92"/>
      <c r="I346" s="92"/>
      <c r="J346" s="92"/>
      <c r="K346" s="92"/>
      <c r="L346" s="92"/>
      <c r="M346" s="92"/>
      <c r="N346" s="92"/>
      <c r="O346" s="92"/>
      <c r="P346" s="92"/>
      <c r="Q346" s="92"/>
      <c r="R346" s="92"/>
      <c r="S346" s="92"/>
      <c r="T346" s="92"/>
      <c r="U346" s="92"/>
      <c r="V346" s="92"/>
      <c r="W346" s="92"/>
      <c r="X346" s="92"/>
      <c r="Y346" s="92"/>
      <c r="Z346" s="92"/>
    </row>
    <row r="347" spans="1:26" hidden="1">
      <c r="A347" s="92"/>
      <c r="B347" s="92"/>
      <c r="C347" s="92"/>
      <c r="D347" s="92"/>
      <c r="E347" s="92"/>
      <c r="F347" s="92"/>
      <c r="G347" s="92"/>
      <c r="H347" s="92"/>
      <c r="I347" s="92"/>
      <c r="J347" s="92"/>
      <c r="K347" s="92"/>
      <c r="L347" s="92"/>
      <c r="M347" s="92"/>
      <c r="N347" s="92"/>
      <c r="O347" s="92"/>
      <c r="P347" s="92"/>
      <c r="Q347" s="92"/>
      <c r="R347" s="92"/>
      <c r="S347" s="92"/>
      <c r="T347" s="92"/>
      <c r="U347" s="92"/>
      <c r="V347" s="92"/>
      <c r="W347" s="92"/>
      <c r="X347" s="92"/>
      <c r="Y347" s="92"/>
      <c r="Z347" s="92"/>
    </row>
    <row r="348" spans="1:26" hidden="1">
      <c r="A348" s="92"/>
      <c r="B348" s="92"/>
      <c r="C348" s="92"/>
      <c r="D348" s="92"/>
      <c r="E348" s="92"/>
      <c r="F348" s="92"/>
      <c r="G348" s="92"/>
      <c r="H348" s="92"/>
      <c r="I348" s="92"/>
      <c r="J348" s="92"/>
      <c r="K348" s="92"/>
      <c r="L348" s="92"/>
      <c r="M348" s="92"/>
      <c r="N348" s="92"/>
      <c r="O348" s="92"/>
      <c r="P348" s="92"/>
      <c r="Q348" s="92"/>
      <c r="R348" s="92"/>
      <c r="S348" s="92"/>
      <c r="T348" s="92"/>
      <c r="U348" s="92"/>
      <c r="V348" s="92"/>
      <c r="W348" s="92"/>
      <c r="X348" s="92"/>
      <c r="Y348" s="92"/>
      <c r="Z348" s="92"/>
    </row>
    <row r="349" spans="1:26" hidden="1">
      <c r="A349" s="92"/>
      <c r="B349" s="92"/>
      <c r="C349" s="92"/>
      <c r="D349" s="92"/>
      <c r="E349" s="92"/>
      <c r="F349" s="92"/>
      <c r="G349" s="92"/>
      <c r="H349" s="92"/>
      <c r="I349" s="92"/>
      <c r="J349" s="92"/>
      <c r="K349" s="92"/>
      <c r="L349" s="92"/>
      <c r="M349" s="92"/>
      <c r="N349" s="92"/>
      <c r="O349" s="92"/>
      <c r="P349" s="92"/>
      <c r="Q349" s="92"/>
      <c r="R349" s="92"/>
      <c r="S349" s="92"/>
      <c r="T349" s="92"/>
      <c r="U349" s="92"/>
      <c r="V349" s="92"/>
      <c r="W349" s="92"/>
      <c r="X349" s="92"/>
      <c r="Y349" s="92"/>
      <c r="Z349" s="92"/>
    </row>
    <row r="350" spans="1:26" hidden="1">
      <c r="A350" s="92"/>
      <c r="B350" s="92"/>
      <c r="C350" s="92"/>
      <c r="D350" s="92"/>
      <c r="E350" s="92"/>
      <c r="F350" s="92"/>
      <c r="G350" s="92"/>
      <c r="H350" s="92"/>
      <c r="I350" s="92"/>
      <c r="J350" s="92"/>
      <c r="K350" s="92"/>
      <c r="L350" s="92"/>
      <c r="M350" s="92"/>
      <c r="N350" s="92"/>
      <c r="O350" s="92"/>
      <c r="P350" s="92"/>
      <c r="Q350" s="92"/>
      <c r="R350" s="92"/>
      <c r="S350" s="92"/>
      <c r="T350" s="92"/>
      <c r="U350" s="92"/>
      <c r="V350" s="92"/>
      <c r="W350" s="92"/>
      <c r="X350" s="92"/>
      <c r="Y350" s="92"/>
      <c r="Z350" s="92"/>
    </row>
    <row r="351" spans="1:26" hidden="1">
      <c r="A351" s="92"/>
      <c r="B351" s="92"/>
      <c r="C351" s="92"/>
      <c r="D351" s="92"/>
      <c r="E351" s="92"/>
      <c r="F351" s="92"/>
      <c r="G351" s="92"/>
      <c r="H351" s="92"/>
      <c r="I351" s="92"/>
      <c r="J351" s="92"/>
      <c r="K351" s="92"/>
      <c r="L351" s="92"/>
      <c r="M351" s="92"/>
      <c r="N351" s="92"/>
      <c r="O351" s="92"/>
      <c r="P351" s="92"/>
      <c r="Q351" s="92"/>
      <c r="R351" s="92"/>
      <c r="S351" s="92"/>
      <c r="T351" s="92"/>
      <c r="U351" s="92"/>
      <c r="V351" s="92"/>
      <c r="W351" s="92"/>
      <c r="X351" s="92"/>
      <c r="Y351" s="92"/>
      <c r="Z351" s="92"/>
    </row>
    <row r="352" spans="1:26" hidden="1">
      <c r="A352" s="92"/>
      <c r="B352" s="92"/>
      <c r="C352" s="92"/>
      <c r="D352" s="92"/>
      <c r="E352" s="92"/>
      <c r="F352" s="92"/>
      <c r="G352" s="92"/>
      <c r="H352" s="92"/>
      <c r="I352" s="92"/>
      <c r="J352" s="92"/>
      <c r="K352" s="92"/>
      <c r="L352" s="92"/>
      <c r="M352" s="92"/>
      <c r="N352" s="92"/>
      <c r="O352" s="92"/>
      <c r="P352" s="92"/>
      <c r="Q352" s="92"/>
      <c r="R352" s="92"/>
      <c r="S352" s="92"/>
      <c r="T352" s="92"/>
      <c r="U352" s="92"/>
      <c r="V352" s="92"/>
      <c r="W352" s="92"/>
      <c r="X352" s="92"/>
      <c r="Y352" s="92"/>
      <c r="Z352" s="92"/>
    </row>
    <row r="353" spans="1:26" hidden="1">
      <c r="A353" s="92"/>
      <c r="B353" s="92"/>
      <c r="C353" s="92"/>
      <c r="D353" s="92"/>
      <c r="E353" s="92"/>
      <c r="F353" s="92"/>
      <c r="G353" s="92"/>
      <c r="H353" s="92"/>
      <c r="I353" s="92"/>
      <c r="J353" s="92"/>
      <c r="K353" s="92"/>
      <c r="L353" s="92"/>
      <c r="M353" s="92"/>
      <c r="N353" s="92"/>
      <c r="O353" s="92"/>
      <c r="P353" s="92"/>
      <c r="Q353" s="92"/>
      <c r="R353" s="92"/>
      <c r="S353" s="92"/>
      <c r="T353" s="92"/>
      <c r="U353" s="92"/>
      <c r="V353" s="92"/>
      <c r="W353" s="92"/>
      <c r="X353" s="92"/>
      <c r="Y353" s="92"/>
      <c r="Z353" s="92"/>
    </row>
    <row r="354" spans="1:26" hidden="1">
      <c r="A354" s="92"/>
      <c r="B354" s="92"/>
      <c r="C354" s="92"/>
      <c r="D354" s="92"/>
      <c r="E354" s="92"/>
      <c r="F354" s="92"/>
      <c r="G354" s="92"/>
      <c r="H354" s="92"/>
      <c r="I354" s="92"/>
      <c r="J354" s="92"/>
      <c r="K354" s="92"/>
      <c r="L354" s="92"/>
      <c r="M354" s="92"/>
      <c r="N354" s="92"/>
      <c r="O354" s="92"/>
      <c r="P354" s="92"/>
      <c r="Q354" s="92"/>
      <c r="R354" s="92"/>
      <c r="S354" s="92"/>
      <c r="T354" s="92"/>
      <c r="U354" s="92"/>
      <c r="V354" s="92"/>
      <c r="W354" s="92"/>
      <c r="X354" s="92"/>
      <c r="Y354" s="92"/>
      <c r="Z354" s="92"/>
    </row>
    <row r="355" spans="1:26" hidden="1">
      <c r="A355" s="92"/>
      <c r="B355" s="92"/>
      <c r="C355" s="92"/>
      <c r="D355" s="92"/>
      <c r="E355" s="92"/>
      <c r="F355" s="92"/>
      <c r="G355" s="92"/>
      <c r="H355" s="92"/>
      <c r="I355" s="92"/>
      <c r="J355" s="92"/>
      <c r="K355" s="92"/>
      <c r="L355" s="92"/>
      <c r="M355" s="92"/>
      <c r="N355" s="92"/>
      <c r="O355" s="92"/>
      <c r="P355" s="92"/>
      <c r="Q355" s="92"/>
      <c r="R355" s="92"/>
      <c r="S355" s="92"/>
      <c r="T355" s="92"/>
      <c r="U355" s="92"/>
      <c r="V355" s="92"/>
      <c r="W355" s="92"/>
      <c r="X355" s="92"/>
      <c r="Y355" s="92"/>
      <c r="Z355" s="92"/>
    </row>
    <row r="356" spans="1:26" hidden="1">
      <c r="A356" s="92"/>
      <c r="B356" s="92"/>
      <c r="C356" s="92"/>
      <c r="D356" s="92"/>
      <c r="E356" s="92"/>
      <c r="F356" s="92"/>
      <c r="G356" s="92"/>
      <c r="H356" s="92"/>
      <c r="I356" s="92"/>
      <c r="J356" s="92"/>
      <c r="K356" s="92"/>
      <c r="L356" s="92"/>
      <c r="M356" s="92"/>
      <c r="N356" s="92"/>
      <c r="O356" s="92"/>
      <c r="P356" s="92"/>
      <c r="Q356" s="92"/>
      <c r="R356" s="92"/>
      <c r="S356" s="92"/>
      <c r="T356" s="92"/>
      <c r="U356" s="92"/>
      <c r="V356" s="92"/>
      <c r="W356" s="92"/>
      <c r="X356" s="92"/>
      <c r="Y356" s="92"/>
      <c r="Z356" s="92"/>
    </row>
    <row r="357" spans="1:26" hidden="1">
      <c r="A357" s="92"/>
      <c r="B357" s="92"/>
      <c r="C357" s="92"/>
      <c r="D357" s="92"/>
      <c r="E357" s="92"/>
      <c r="F357" s="92"/>
      <c r="G357" s="92"/>
      <c r="H357" s="92"/>
      <c r="I357" s="92"/>
      <c r="J357" s="92"/>
      <c r="K357" s="92"/>
      <c r="L357" s="92"/>
      <c r="M357" s="92"/>
      <c r="N357" s="92"/>
      <c r="O357" s="92"/>
      <c r="P357" s="92"/>
      <c r="Q357" s="92"/>
      <c r="R357" s="92"/>
      <c r="S357" s="92"/>
      <c r="T357" s="92"/>
      <c r="U357" s="92"/>
      <c r="V357" s="92"/>
      <c r="W357" s="92"/>
      <c r="X357" s="92"/>
      <c r="Y357" s="92"/>
      <c r="Z357" s="92"/>
    </row>
    <row r="358" spans="1:26" hidden="1">
      <c r="A358" s="92"/>
      <c r="B358" s="92"/>
      <c r="C358" s="92"/>
      <c r="D358" s="92"/>
      <c r="E358" s="92"/>
      <c r="F358" s="92"/>
      <c r="G358" s="92"/>
      <c r="H358" s="92"/>
      <c r="I358" s="92"/>
      <c r="J358" s="92"/>
      <c r="K358" s="92"/>
      <c r="L358" s="92"/>
      <c r="M358" s="92"/>
      <c r="N358" s="92"/>
      <c r="O358" s="92"/>
      <c r="P358" s="92"/>
      <c r="Q358" s="92"/>
      <c r="R358" s="92"/>
      <c r="S358" s="92"/>
      <c r="T358" s="92"/>
      <c r="U358" s="92"/>
      <c r="V358" s="92"/>
      <c r="W358" s="92"/>
      <c r="X358" s="92"/>
      <c r="Y358" s="92"/>
      <c r="Z358" s="92"/>
    </row>
    <row r="359" spans="1:26" hidden="1">
      <c r="A359" s="92"/>
      <c r="B359" s="92"/>
      <c r="C359" s="92"/>
      <c r="D359" s="92"/>
      <c r="E359" s="92"/>
      <c r="F359" s="92"/>
      <c r="G359" s="92"/>
      <c r="H359" s="92"/>
      <c r="I359" s="92"/>
      <c r="J359" s="92"/>
      <c r="K359" s="92"/>
      <c r="L359" s="92"/>
      <c r="M359" s="92"/>
      <c r="N359" s="92"/>
      <c r="O359" s="92"/>
      <c r="P359" s="92"/>
      <c r="Q359" s="92"/>
      <c r="R359" s="92"/>
      <c r="S359" s="92"/>
      <c r="T359" s="92"/>
      <c r="U359" s="92"/>
      <c r="V359" s="92"/>
      <c r="W359" s="92"/>
      <c r="X359" s="92"/>
      <c r="Y359" s="92"/>
      <c r="Z359" s="92"/>
    </row>
    <row r="360" spans="1:26" hidden="1">
      <c r="A360" s="92"/>
      <c r="B360" s="92"/>
      <c r="C360" s="92"/>
      <c r="D360" s="92"/>
      <c r="E360" s="92"/>
      <c r="F360" s="92"/>
      <c r="G360" s="92"/>
      <c r="H360" s="92"/>
      <c r="I360" s="92"/>
      <c r="J360" s="92"/>
      <c r="K360" s="92"/>
      <c r="L360" s="92"/>
      <c r="M360" s="92"/>
      <c r="N360" s="92"/>
      <c r="O360" s="92"/>
      <c r="P360" s="92"/>
      <c r="Q360" s="92"/>
      <c r="R360" s="92"/>
      <c r="S360" s="92"/>
      <c r="T360" s="92"/>
      <c r="U360" s="92"/>
      <c r="V360" s="92"/>
      <c r="W360" s="92"/>
      <c r="X360" s="92"/>
      <c r="Y360" s="92"/>
      <c r="Z360" s="92"/>
    </row>
    <row r="361" spans="1:26" hidden="1">
      <c r="A361" s="92"/>
      <c r="B361" s="92"/>
      <c r="C361" s="92"/>
      <c r="D361" s="92"/>
      <c r="E361" s="92"/>
      <c r="F361" s="92"/>
      <c r="G361" s="92"/>
      <c r="H361" s="92"/>
      <c r="I361" s="92"/>
      <c r="J361" s="92"/>
      <c r="K361" s="92"/>
      <c r="L361" s="92"/>
      <c r="M361" s="92"/>
      <c r="N361" s="92"/>
      <c r="O361" s="92"/>
      <c r="P361" s="92"/>
      <c r="Q361" s="92"/>
      <c r="R361" s="92"/>
      <c r="S361" s="92"/>
      <c r="T361" s="92"/>
      <c r="U361" s="92"/>
      <c r="V361" s="92"/>
      <c r="W361" s="92"/>
      <c r="X361" s="92"/>
      <c r="Y361" s="92"/>
      <c r="Z361" s="92"/>
    </row>
    <row r="362" spans="1:26" hidden="1">
      <c r="A362" s="92"/>
      <c r="B362" s="92"/>
      <c r="C362" s="92"/>
      <c r="D362" s="92"/>
      <c r="E362" s="92"/>
      <c r="F362" s="92"/>
      <c r="G362" s="92"/>
      <c r="H362" s="92"/>
      <c r="I362" s="92"/>
      <c r="J362" s="92"/>
      <c r="K362" s="92"/>
      <c r="L362" s="92"/>
      <c r="M362" s="92"/>
      <c r="N362" s="92"/>
      <c r="O362" s="92"/>
      <c r="P362" s="92"/>
      <c r="Q362" s="92"/>
      <c r="R362" s="92"/>
      <c r="S362" s="92"/>
      <c r="T362" s="92"/>
      <c r="U362" s="92"/>
      <c r="V362" s="92"/>
      <c r="W362" s="92"/>
      <c r="X362" s="92"/>
      <c r="Y362" s="92"/>
      <c r="Z362" s="92"/>
    </row>
    <row r="363" spans="1:26" hidden="1">
      <c r="A363" s="92"/>
      <c r="B363" s="92"/>
      <c r="C363" s="92"/>
      <c r="D363" s="92"/>
      <c r="E363" s="92"/>
      <c r="F363" s="92"/>
      <c r="G363" s="92"/>
      <c r="H363" s="92"/>
      <c r="I363" s="92"/>
      <c r="J363" s="92"/>
      <c r="K363" s="92"/>
      <c r="L363" s="92"/>
      <c r="M363" s="92"/>
      <c r="N363" s="92"/>
      <c r="O363" s="92"/>
      <c r="P363" s="92"/>
      <c r="Q363" s="92"/>
      <c r="R363" s="92"/>
      <c r="S363" s="92"/>
      <c r="T363" s="92"/>
      <c r="U363" s="92"/>
      <c r="V363" s="92"/>
      <c r="W363" s="92"/>
      <c r="X363" s="92"/>
      <c r="Y363" s="92"/>
      <c r="Z363" s="92"/>
    </row>
    <row r="364" spans="1:26" hidden="1">
      <c r="A364" s="92"/>
      <c r="B364" s="92"/>
      <c r="C364" s="92"/>
      <c r="D364" s="92"/>
      <c r="E364" s="92"/>
      <c r="F364" s="92"/>
      <c r="G364" s="92"/>
      <c r="H364" s="92"/>
      <c r="I364" s="92"/>
      <c r="J364" s="92"/>
      <c r="K364" s="92"/>
      <c r="L364" s="92"/>
      <c r="M364" s="92"/>
      <c r="N364" s="92"/>
      <c r="O364" s="92"/>
      <c r="P364" s="92"/>
      <c r="Q364" s="92"/>
      <c r="R364" s="92"/>
      <c r="S364" s="92"/>
      <c r="T364" s="92"/>
      <c r="U364" s="92"/>
      <c r="V364" s="92"/>
      <c r="W364" s="92"/>
      <c r="X364" s="92"/>
      <c r="Y364" s="92"/>
      <c r="Z364" s="92"/>
    </row>
    <row r="365" spans="1:26" hidden="1">
      <c r="A365" s="92"/>
      <c r="B365" s="92"/>
      <c r="C365" s="92"/>
      <c r="D365" s="92"/>
      <c r="E365" s="92"/>
      <c r="F365" s="92"/>
      <c r="G365" s="92"/>
      <c r="H365" s="92"/>
      <c r="I365" s="92"/>
      <c r="J365" s="92"/>
      <c r="K365" s="92"/>
      <c r="L365" s="92"/>
      <c r="M365" s="92"/>
      <c r="N365" s="92"/>
      <c r="O365" s="92"/>
      <c r="P365" s="92"/>
      <c r="Q365" s="92"/>
      <c r="R365" s="92"/>
      <c r="S365" s="92"/>
      <c r="T365" s="92"/>
      <c r="U365" s="92"/>
      <c r="V365" s="92"/>
      <c r="W365" s="92"/>
      <c r="X365" s="92"/>
      <c r="Y365" s="92"/>
      <c r="Z365" s="92"/>
    </row>
    <row r="366" spans="1:26" hidden="1">
      <c r="A366" s="92"/>
      <c r="B366" s="92"/>
      <c r="C366" s="92"/>
      <c r="D366" s="92"/>
      <c r="E366" s="92"/>
      <c r="F366" s="92"/>
      <c r="G366" s="92"/>
      <c r="H366" s="92"/>
      <c r="I366" s="92"/>
      <c r="J366" s="92"/>
      <c r="K366" s="92"/>
      <c r="L366" s="92"/>
      <c r="M366" s="92"/>
      <c r="N366" s="92"/>
      <c r="O366" s="92"/>
      <c r="P366" s="92"/>
      <c r="Q366" s="92"/>
      <c r="R366" s="92"/>
      <c r="S366" s="92"/>
      <c r="T366" s="92"/>
      <c r="U366" s="92"/>
      <c r="V366" s="92"/>
      <c r="W366" s="92"/>
      <c r="X366" s="92"/>
      <c r="Y366" s="92"/>
      <c r="Z366" s="92"/>
    </row>
    <row r="367" spans="1:26" hidden="1">
      <c r="A367" s="92"/>
      <c r="B367" s="92"/>
      <c r="C367" s="92"/>
      <c r="D367" s="92"/>
      <c r="E367" s="92"/>
      <c r="F367" s="92"/>
      <c r="G367" s="92"/>
      <c r="H367" s="92"/>
      <c r="I367" s="92"/>
      <c r="J367" s="92"/>
      <c r="K367" s="92"/>
      <c r="L367" s="92"/>
      <c r="M367" s="92"/>
      <c r="N367" s="92"/>
      <c r="O367" s="92"/>
      <c r="P367" s="92"/>
      <c r="Q367" s="92"/>
      <c r="R367" s="92"/>
      <c r="S367" s="92"/>
      <c r="T367" s="92"/>
      <c r="U367" s="92"/>
      <c r="V367" s="92"/>
      <c r="W367" s="92"/>
      <c r="X367" s="92"/>
      <c r="Y367" s="92"/>
      <c r="Z367" s="92"/>
    </row>
    <row r="368" spans="1:26" hidden="1">
      <c r="A368" s="92"/>
      <c r="B368" s="92"/>
      <c r="C368" s="92"/>
      <c r="D368" s="92"/>
      <c r="E368" s="92"/>
      <c r="F368" s="92"/>
      <c r="G368" s="92"/>
      <c r="H368" s="92"/>
      <c r="I368" s="92"/>
      <c r="J368" s="92"/>
      <c r="K368" s="92"/>
      <c r="L368" s="92"/>
      <c r="M368" s="92"/>
      <c r="N368" s="92"/>
      <c r="O368" s="92"/>
      <c r="P368" s="92"/>
      <c r="Q368" s="92"/>
      <c r="R368" s="92"/>
      <c r="S368" s="92"/>
      <c r="T368" s="92"/>
      <c r="U368" s="92"/>
      <c r="V368" s="92"/>
      <c r="W368" s="92"/>
      <c r="X368" s="92"/>
      <c r="Y368" s="92"/>
      <c r="Z368" s="92"/>
    </row>
    <row r="369" spans="1:26" hidden="1">
      <c r="A369" s="92"/>
      <c r="B369" s="92"/>
      <c r="C369" s="92"/>
      <c r="D369" s="92"/>
      <c r="E369" s="92"/>
      <c r="F369" s="92"/>
      <c r="G369" s="92"/>
      <c r="H369" s="92"/>
      <c r="I369" s="92"/>
      <c r="J369" s="92"/>
      <c r="K369" s="92"/>
      <c r="L369" s="92"/>
      <c r="M369" s="92"/>
      <c r="N369" s="92"/>
      <c r="O369" s="92"/>
      <c r="P369" s="92"/>
      <c r="Q369" s="92"/>
      <c r="R369" s="92"/>
      <c r="S369" s="92"/>
      <c r="T369" s="92"/>
      <c r="U369" s="92"/>
      <c r="V369" s="92"/>
      <c r="W369" s="92"/>
      <c r="X369" s="92"/>
      <c r="Y369" s="92"/>
      <c r="Z369" s="92"/>
    </row>
    <row r="370" spans="1:26" hidden="1">
      <c r="A370" s="92"/>
      <c r="B370" s="92"/>
      <c r="C370" s="92"/>
      <c r="D370" s="92"/>
      <c r="E370" s="92"/>
      <c r="F370" s="92"/>
      <c r="G370" s="92"/>
      <c r="H370" s="92"/>
      <c r="I370" s="92"/>
      <c r="J370" s="92"/>
      <c r="K370" s="92"/>
      <c r="L370" s="92"/>
      <c r="M370" s="92"/>
      <c r="N370" s="92"/>
      <c r="O370" s="92"/>
      <c r="P370" s="92"/>
      <c r="Q370" s="92"/>
      <c r="R370" s="92"/>
      <c r="S370" s="92"/>
      <c r="T370" s="92"/>
      <c r="U370" s="92"/>
      <c r="V370" s="92"/>
      <c r="W370" s="92"/>
      <c r="X370" s="92"/>
      <c r="Y370" s="92"/>
      <c r="Z370" s="92"/>
    </row>
    <row r="371" spans="1:26" hidden="1">
      <c r="A371" s="92"/>
      <c r="B371" s="92"/>
      <c r="C371" s="92"/>
      <c r="D371" s="92"/>
      <c r="E371" s="92"/>
      <c r="F371" s="92"/>
      <c r="G371" s="92"/>
      <c r="H371" s="92"/>
      <c r="I371" s="92"/>
      <c r="J371" s="92"/>
      <c r="K371" s="92"/>
      <c r="L371" s="92"/>
      <c r="M371" s="92"/>
      <c r="N371" s="92"/>
      <c r="O371" s="92"/>
      <c r="P371" s="92"/>
      <c r="Q371" s="92"/>
      <c r="R371" s="92"/>
      <c r="S371" s="92"/>
      <c r="T371" s="92"/>
      <c r="U371" s="92"/>
      <c r="V371" s="92"/>
      <c r="W371" s="92"/>
      <c r="X371" s="92"/>
      <c r="Y371" s="92"/>
      <c r="Z371" s="92"/>
    </row>
    <row r="372" spans="1:26" hidden="1">
      <c r="A372" s="92"/>
      <c r="B372" s="92"/>
      <c r="C372" s="92"/>
      <c r="D372" s="92"/>
      <c r="E372" s="92"/>
      <c r="F372" s="92"/>
      <c r="G372" s="92"/>
      <c r="H372" s="92"/>
      <c r="I372" s="92"/>
      <c r="J372" s="92"/>
      <c r="K372" s="92"/>
      <c r="L372" s="92"/>
      <c r="M372" s="92"/>
      <c r="N372" s="92"/>
      <c r="O372" s="92"/>
      <c r="P372" s="92"/>
      <c r="Q372" s="92"/>
      <c r="R372" s="92"/>
      <c r="S372" s="92"/>
      <c r="T372" s="92"/>
      <c r="U372" s="92"/>
      <c r="V372" s="92"/>
      <c r="W372" s="92"/>
      <c r="X372" s="92"/>
      <c r="Y372" s="92"/>
      <c r="Z372" s="92"/>
    </row>
    <row r="373" spans="1:26" hidden="1">
      <c r="A373" s="92"/>
      <c r="B373" s="92"/>
      <c r="C373" s="92"/>
      <c r="D373" s="92"/>
      <c r="E373" s="92"/>
      <c r="F373" s="92"/>
      <c r="G373" s="92"/>
      <c r="H373" s="92"/>
      <c r="I373" s="92"/>
      <c r="J373" s="92"/>
      <c r="K373" s="92"/>
      <c r="L373" s="92"/>
      <c r="M373" s="92"/>
      <c r="N373" s="92"/>
      <c r="O373" s="92"/>
      <c r="P373" s="92"/>
      <c r="Q373" s="92"/>
      <c r="R373" s="92"/>
      <c r="S373" s="92"/>
      <c r="T373" s="92"/>
      <c r="U373" s="92"/>
      <c r="V373" s="92"/>
      <c r="W373" s="92"/>
      <c r="X373" s="92"/>
      <c r="Y373" s="92"/>
      <c r="Z373" s="92"/>
    </row>
    <row r="374" spans="1:26" hidden="1">
      <c r="A374" s="92"/>
      <c r="B374" s="92"/>
      <c r="C374" s="92"/>
      <c r="D374" s="92"/>
      <c r="E374" s="92"/>
      <c r="F374" s="92"/>
      <c r="G374" s="92"/>
      <c r="H374" s="92"/>
      <c r="I374" s="92"/>
      <c r="J374" s="92"/>
      <c r="K374" s="92"/>
      <c r="L374" s="92"/>
      <c r="M374" s="92"/>
      <c r="N374" s="92"/>
      <c r="O374" s="92"/>
      <c r="P374" s="92"/>
      <c r="Q374" s="92"/>
      <c r="R374" s="92"/>
      <c r="S374" s="92"/>
      <c r="T374" s="92"/>
      <c r="U374" s="92"/>
      <c r="V374" s="92"/>
      <c r="W374" s="92"/>
      <c r="X374" s="92"/>
      <c r="Y374" s="92"/>
      <c r="Z374" s="92"/>
    </row>
    <row r="375" spans="1:26" hidden="1">
      <c r="A375" s="92"/>
      <c r="B375" s="92"/>
      <c r="C375" s="92"/>
      <c r="D375" s="92"/>
      <c r="E375" s="92"/>
      <c r="F375" s="92"/>
      <c r="G375" s="92"/>
      <c r="H375" s="92"/>
      <c r="I375" s="92"/>
      <c r="J375" s="92"/>
      <c r="K375" s="92"/>
      <c r="L375" s="92"/>
      <c r="M375" s="92"/>
      <c r="N375" s="92"/>
      <c r="O375" s="92"/>
      <c r="P375" s="92"/>
      <c r="Q375" s="92"/>
      <c r="R375" s="92"/>
      <c r="S375" s="92"/>
      <c r="T375" s="92"/>
      <c r="U375" s="92"/>
      <c r="V375" s="92"/>
      <c r="W375" s="92"/>
      <c r="X375" s="92"/>
      <c r="Y375" s="92"/>
      <c r="Z375" s="92"/>
    </row>
    <row r="376" spans="1:26" hidden="1">
      <c r="A376" s="92"/>
      <c r="B376" s="92"/>
      <c r="C376" s="92"/>
      <c r="D376" s="92"/>
      <c r="E376" s="92"/>
      <c r="F376" s="92"/>
      <c r="G376" s="92"/>
      <c r="H376" s="92"/>
      <c r="I376" s="92"/>
      <c r="J376" s="92"/>
      <c r="K376" s="92"/>
      <c r="L376" s="92"/>
      <c r="M376" s="92"/>
      <c r="N376" s="92"/>
      <c r="O376" s="92"/>
      <c r="P376" s="92"/>
      <c r="Q376" s="92"/>
      <c r="R376" s="92"/>
      <c r="S376" s="92"/>
      <c r="T376" s="92"/>
      <c r="U376" s="92"/>
      <c r="V376" s="92"/>
      <c r="W376" s="92"/>
      <c r="X376" s="92"/>
      <c r="Y376" s="92"/>
      <c r="Z376" s="92"/>
    </row>
    <row r="377" spans="1:26" hidden="1">
      <c r="A377" s="92"/>
      <c r="B377" s="92"/>
      <c r="C377" s="92"/>
      <c r="D377" s="92"/>
      <c r="E377" s="92"/>
      <c r="F377" s="92"/>
      <c r="G377" s="92"/>
      <c r="H377" s="92"/>
      <c r="I377" s="92"/>
      <c r="J377" s="92"/>
      <c r="K377" s="92"/>
      <c r="L377" s="92"/>
      <c r="M377" s="92"/>
      <c r="N377" s="92"/>
      <c r="O377" s="92"/>
      <c r="P377" s="92"/>
      <c r="Q377" s="92"/>
      <c r="R377" s="92"/>
      <c r="S377" s="92"/>
      <c r="T377" s="92"/>
      <c r="U377" s="92"/>
      <c r="V377" s="92"/>
      <c r="W377" s="92"/>
      <c r="X377" s="92"/>
      <c r="Y377" s="92"/>
      <c r="Z377" s="92"/>
    </row>
    <row r="378" spans="1:26" hidden="1">
      <c r="A378" s="92"/>
      <c r="B378" s="92"/>
      <c r="C378" s="92"/>
      <c r="D378" s="92"/>
      <c r="E378" s="92"/>
      <c r="F378" s="92"/>
      <c r="G378" s="92"/>
      <c r="H378" s="92"/>
      <c r="I378" s="92"/>
      <c r="J378" s="92"/>
      <c r="K378" s="92"/>
      <c r="L378" s="92"/>
      <c r="M378" s="92"/>
      <c r="N378" s="92"/>
      <c r="O378" s="92"/>
      <c r="P378" s="92"/>
      <c r="Q378" s="92"/>
      <c r="R378" s="92"/>
      <c r="S378" s="92"/>
      <c r="T378" s="92"/>
      <c r="U378" s="92"/>
      <c r="V378" s="92"/>
      <c r="W378" s="92"/>
      <c r="X378" s="92"/>
      <c r="Y378" s="92"/>
      <c r="Z378" s="92"/>
    </row>
    <row r="379" spans="1:26" hidden="1">
      <c r="A379" s="92"/>
      <c r="B379" s="92"/>
      <c r="C379" s="92"/>
      <c r="D379" s="92"/>
      <c r="E379" s="92"/>
      <c r="F379" s="92"/>
      <c r="G379" s="92"/>
      <c r="H379" s="92"/>
      <c r="I379" s="92"/>
      <c r="J379" s="92"/>
      <c r="K379" s="92"/>
      <c r="L379" s="92"/>
      <c r="M379" s="92"/>
      <c r="N379" s="92"/>
      <c r="O379" s="92"/>
      <c r="P379" s="92"/>
      <c r="Q379" s="92"/>
      <c r="R379" s="92"/>
      <c r="S379" s="92"/>
      <c r="T379" s="92"/>
      <c r="U379" s="92"/>
      <c r="V379" s="92"/>
      <c r="W379" s="92"/>
      <c r="X379" s="92"/>
      <c r="Y379" s="92"/>
      <c r="Z379" s="92"/>
    </row>
    <row r="380" spans="1:26" hidden="1">
      <c r="A380" s="92"/>
      <c r="B380" s="92"/>
      <c r="C380" s="92"/>
      <c r="D380" s="92"/>
      <c r="E380" s="92"/>
      <c r="F380" s="92"/>
      <c r="G380" s="92"/>
      <c r="H380" s="92"/>
      <c r="I380" s="92"/>
      <c r="J380" s="92"/>
      <c r="K380" s="92"/>
      <c r="L380" s="92"/>
      <c r="M380" s="92"/>
      <c r="N380" s="92"/>
      <c r="O380" s="92"/>
      <c r="P380" s="92"/>
      <c r="Q380" s="92"/>
      <c r="R380" s="92"/>
      <c r="S380" s="92"/>
      <c r="T380" s="92"/>
      <c r="U380" s="92"/>
      <c r="V380" s="92"/>
      <c r="W380" s="92"/>
      <c r="X380" s="92"/>
      <c r="Y380" s="92"/>
      <c r="Z380" s="92"/>
    </row>
    <row r="381" spans="1:26" hidden="1">
      <c r="A381" s="92"/>
      <c r="B381" s="92"/>
      <c r="C381" s="92"/>
      <c r="D381" s="92"/>
      <c r="E381" s="92"/>
      <c r="F381" s="92"/>
      <c r="G381" s="92"/>
      <c r="H381" s="92"/>
      <c r="I381" s="92"/>
      <c r="J381" s="92"/>
      <c r="K381" s="92"/>
      <c r="L381" s="92"/>
      <c r="M381" s="92"/>
      <c r="N381" s="92"/>
      <c r="O381" s="92"/>
      <c r="P381" s="92"/>
      <c r="Q381" s="92"/>
      <c r="R381" s="92"/>
      <c r="S381" s="92"/>
      <c r="T381" s="92"/>
      <c r="U381" s="92"/>
      <c r="V381" s="92"/>
      <c r="W381" s="92"/>
      <c r="X381" s="92"/>
      <c r="Y381" s="92"/>
      <c r="Z381" s="92"/>
    </row>
    <row r="382" spans="1:26" hidden="1">
      <c r="A382" s="92"/>
      <c r="B382" s="92"/>
      <c r="C382" s="92"/>
      <c r="D382" s="92"/>
      <c r="E382" s="92"/>
      <c r="F382" s="92"/>
      <c r="G382" s="92"/>
      <c r="H382" s="92"/>
      <c r="I382" s="92"/>
      <c r="J382" s="92"/>
      <c r="K382" s="92"/>
      <c r="L382" s="92"/>
      <c r="M382" s="92"/>
      <c r="N382" s="92"/>
      <c r="O382" s="92"/>
      <c r="P382" s="92"/>
      <c r="Q382" s="92"/>
      <c r="R382" s="92"/>
      <c r="S382" s="92"/>
      <c r="T382" s="92"/>
      <c r="U382" s="92"/>
      <c r="V382" s="92"/>
      <c r="W382" s="92"/>
      <c r="X382" s="92"/>
      <c r="Y382" s="92"/>
      <c r="Z382" s="92"/>
    </row>
    <row r="383" spans="1:26" hidden="1">
      <c r="A383" s="92"/>
      <c r="B383" s="92"/>
      <c r="C383" s="92"/>
      <c r="D383" s="92"/>
      <c r="E383" s="92"/>
      <c r="F383" s="92"/>
      <c r="G383" s="92"/>
      <c r="H383" s="92"/>
      <c r="I383" s="92"/>
      <c r="J383" s="92"/>
      <c r="K383" s="92"/>
      <c r="L383" s="92"/>
      <c r="M383" s="92"/>
      <c r="N383" s="92"/>
      <c r="O383" s="92"/>
      <c r="P383" s="92"/>
      <c r="Q383" s="92"/>
      <c r="R383" s="92"/>
      <c r="S383" s="92"/>
      <c r="T383" s="92"/>
      <c r="U383" s="92"/>
      <c r="V383" s="92"/>
      <c r="W383" s="92"/>
      <c r="X383" s="92"/>
      <c r="Y383" s="92"/>
      <c r="Z383" s="92"/>
    </row>
    <row r="384" spans="1:26" hidden="1">
      <c r="A384" s="92"/>
      <c r="B384" s="92"/>
      <c r="C384" s="92"/>
      <c r="D384" s="92"/>
      <c r="E384" s="92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  <c r="Z384" s="92"/>
    </row>
    <row r="385" spans="1:26" hidden="1">
      <c r="A385" s="92"/>
      <c r="B385" s="92"/>
      <c r="C385" s="92"/>
      <c r="D385" s="92"/>
      <c r="E385" s="92"/>
      <c r="F385" s="92"/>
      <c r="G385" s="92"/>
      <c r="H385" s="92"/>
      <c r="I385" s="92"/>
      <c r="J385" s="92"/>
      <c r="K385" s="92"/>
      <c r="L385" s="92"/>
      <c r="M385" s="92"/>
      <c r="N385" s="92"/>
      <c r="O385" s="92"/>
      <c r="P385" s="92"/>
      <c r="Q385" s="92"/>
      <c r="R385" s="92"/>
      <c r="S385" s="92"/>
      <c r="T385" s="92"/>
      <c r="U385" s="92"/>
      <c r="V385" s="92"/>
      <c r="W385" s="92"/>
      <c r="X385" s="92"/>
      <c r="Y385" s="92"/>
      <c r="Z385" s="92"/>
    </row>
    <row r="386" spans="1:26" hidden="1">
      <c r="A386" s="92"/>
      <c r="B386" s="92"/>
      <c r="C386" s="92"/>
      <c r="D386" s="92"/>
      <c r="E386" s="92"/>
      <c r="F386" s="92"/>
      <c r="G386" s="92"/>
      <c r="H386" s="92"/>
      <c r="I386" s="92"/>
      <c r="J386" s="92"/>
      <c r="K386" s="92"/>
      <c r="L386" s="92"/>
      <c r="M386" s="92"/>
      <c r="N386" s="92"/>
      <c r="O386" s="92"/>
      <c r="P386" s="92"/>
      <c r="Q386" s="92"/>
      <c r="R386" s="92"/>
      <c r="S386" s="92"/>
      <c r="T386" s="92"/>
      <c r="U386" s="92"/>
      <c r="V386" s="92"/>
      <c r="W386" s="92"/>
      <c r="X386" s="92"/>
      <c r="Y386" s="92"/>
      <c r="Z386" s="92"/>
    </row>
    <row r="387" spans="1:26" hidden="1">
      <c r="A387" s="92"/>
      <c r="B387" s="92"/>
      <c r="C387" s="92"/>
      <c r="D387" s="92"/>
      <c r="E387" s="92"/>
      <c r="F387" s="92"/>
      <c r="G387" s="92"/>
      <c r="H387" s="92"/>
      <c r="I387" s="92"/>
      <c r="J387" s="92"/>
      <c r="K387" s="92"/>
      <c r="L387" s="92"/>
      <c r="M387" s="92"/>
      <c r="N387" s="92"/>
      <c r="O387" s="92"/>
      <c r="P387" s="92"/>
      <c r="Q387" s="92"/>
      <c r="R387" s="92"/>
      <c r="S387" s="92"/>
      <c r="T387" s="92"/>
      <c r="U387" s="92"/>
      <c r="V387" s="92"/>
      <c r="W387" s="92"/>
      <c r="X387" s="92"/>
      <c r="Y387" s="92"/>
      <c r="Z387" s="92"/>
    </row>
    <row r="388" spans="1:26" hidden="1">
      <c r="A388" s="92"/>
      <c r="B388" s="92"/>
      <c r="C388" s="92"/>
      <c r="D388" s="92"/>
      <c r="E388" s="92"/>
      <c r="F388" s="92"/>
      <c r="G388" s="92"/>
      <c r="H388" s="92"/>
      <c r="I388" s="92"/>
      <c r="J388" s="92"/>
      <c r="K388" s="92"/>
      <c r="L388" s="92"/>
      <c r="M388" s="92"/>
      <c r="N388" s="92"/>
      <c r="O388" s="92"/>
      <c r="P388" s="92"/>
      <c r="Q388" s="92"/>
      <c r="R388" s="92"/>
      <c r="S388" s="92"/>
      <c r="T388" s="92"/>
      <c r="U388" s="92"/>
      <c r="V388" s="92"/>
      <c r="W388" s="92"/>
      <c r="X388" s="92"/>
      <c r="Y388" s="92"/>
      <c r="Z388" s="92"/>
    </row>
    <row r="389" spans="1:26" hidden="1">
      <c r="A389" s="92"/>
      <c r="B389" s="92"/>
      <c r="C389" s="92"/>
      <c r="D389" s="92"/>
      <c r="E389" s="92"/>
      <c r="F389" s="92"/>
      <c r="G389" s="92"/>
      <c r="H389" s="92"/>
      <c r="I389" s="92"/>
      <c r="J389" s="92"/>
      <c r="K389" s="92"/>
      <c r="L389" s="92"/>
      <c r="M389" s="92"/>
      <c r="N389" s="92"/>
      <c r="O389" s="92"/>
      <c r="P389" s="92"/>
      <c r="Q389" s="92"/>
      <c r="R389" s="92"/>
      <c r="S389" s="92"/>
      <c r="T389" s="92"/>
      <c r="U389" s="92"/>
      <c r="V389" s="92"/>
      <c r="W389" s="92"/>
      <c r="X389" s="92"/>
      <c r="Y389" s="92"/>
      <c r="Z389" s="92"/>
    </row>
    <row r="390" spans="1:26" hidden="1">
      <c r="A390" s="92"/>
      <c r="B390" s="92"/>
      <c r="C390" s="92"/>
      <c r="D390" s="92"/>
      <c r="E390" s="92"/>
      <c r="F390" s="92"/>
      <c r="G390" s="92"/>
      <c r="H390" s="92"/>
      <c r="I390" s="92"/>
      <c r="J390" s="92"/>
      <c r="K390" s="92"/>
      <c r="L390" s="92"/>
      <c r="M390" s="92"/>
      <c r="N390" s="92"/>
      <c r="O390" s="92"/>
      <c r="P390" s="92"/>
      <c r="Q390" s="92"/>
      <c r="R390" s="92"/>
      <c r="S390" s="92"/>
      <c r="T390" s="92"/>
      <c r="U390" s="92"/>
      <c r="V390" s="92"/>
      <c r="W390" s="92"/>
      <c r="X390" s="92"/>
      <c r="Y390" s="92"/>
      <c r="Z390" s="92"/>
    </row>
    <row r="391" spans="1:26" hidden="1">
      <c r="A391" s="92"/>
      <c r="B391" s="92"/>
      <c r="C391" s="92"/>
      <c r="D391" s="92"/>
      <c r="E391" s="92"/>
      <c r="F391" s="92"/>
      <c r="G391" s="92"/>
      <c r="H391" s="92"/>
      <c r="I391" s="92"/>
      <c r="J391" s="92"/>
      <c r="K391" s="92"/>
      <c r="L391" s="92"/>
      <c r="M391" s="92"/>
      <c r="N391" s="92"/>
      <c r="O391" s="92"/>
      <c r="P391" s="92"/>
      <c r="Q391" s="92"/>
      <c r="R391" s="92"/>
      <c r="S391" s="92"/>
      <c r="T391" s="92"/>
      <c r="U391" s="92"/>
      <c r="V391" s="92"/>
      <c r="W391" s="92"/>
      <c r="X391" s="92"/>
      <c r="Y391" s="92"/>
      <c r="Z391" s="92"/>
    </row>
    <row r="392" spans="1:26" hidden="1">
      <c r="A392" s="92"/>
      <c r="B392" s="92"/>
      <c r="C392" s="92"/>
      <c r="D392" s="92"/>
      <c r="E392" s="92"/>
      <c r="F392" s="92"/>
      <c r="G392" s="92"/>
      <c r="H392" s="92"/>
      <c r="I392" s="92"/>
      <c r="J392" s="92"/>
      <c r="K392" s="92"/>
      <c r="L392" s="92"/>
      <c r="M392" s="92"/>
      <c r="N392" s="92"/>
      <c r="O392" s="92"/>
      <c r="P392" s="92"/>
      <c r="Q392" s="92"/>
      <c r="R392" s="92"/>
      <c r="S392" s="92"/>
      <c r="T392" s="92"/>
      <c r="U392" s="92"/>
      <c r="V392" s="92"/>
      <c r="W392" s="92"/>
      <c r="X392" s="92"/>
      <c r="Y392" s="92"/>
      <c r="Z392" s="92"/>
    </row>
    <row r="393" spans="1:26" hidden="1">
      <c r="A393" s="92"/>
      <c r="B393" s="92"/>
      <c r="C393" s="92"/>
      <c r="D393" s="92"/>
      <c r="E393" s="92"/>
      <c r="F393" s="92"/>
      <c r="G393" s="92"/>
      <c r="H393" s="92"/>
      <c r="I393" s="92"/>
      <c r="J393" s="92"/>
      <c r="K393" s="92"/>
      <c r="L393" s="92"/>
      <c r="M393" s="92"/>
      <c r="N393" s="92"/>
      <c r="O393" s="92"/>
      <c r="P393" s="92"/>
      <c r="Q393" s="92"/>
      <c r="R393" s="92"/>
      <c r="S393" s="92"/>
      <c r="T393" s="92"/>
      <c r="U393" s="92"/>
      <c r="V393" s="92"/>
      <c r="W393" s="92"/>
      <c r="X393" s="92"/>
      <c r="Y393" s="92"/>
      <c r="Z393" s="92"/>
    </row>
    <row r="394" spans="1:26" hidden="1">
      <c r="A394" s="92"/>
      <c r="B394" s="92"/>
      <c r="C394" s="92"/>
      <c r="D394" s="92"/>
      <c r="E394" s="92"/>
      <c r="F394" s="92"/>
      <c r="G394" s="92"/>
      <c r="H394" s="92"/>
      <c r="I394" s="92"/>
      <c r="J394" s="92"/>
      <c r="K394" s="92"/>
      <c r="L394" s="92"/>
      <c r="M394" s="92"/>
      <c r="N394" s="92"/>
      <c r="O394" s="92"/>
      <c r="P394" s="92"/>
      <c r="Q394" s="92"/>
      <c r="R394" s="92"/>
      <c r="S394" s="92"/>
      <c r="T394" s="92"/>
      <c r="U394" s="92"/>
      <c r="V394" s="92"/>
      <c r="W394" s="92"/>
      <c r="X394" s="92"/>
      <c r="Y394" s="92"/>
      <c r="Z394" s="92"/>
    </row>
    <row r="395" spans="1:26" hidden="1">
      <c r="A395" s="92"/>
      <c r="B395" s="92"/>
      <c r="C395" s="92"/>
      <c r="D395" s="92"/>
      <c r="E395" s="92"/>
      <c r="F395" s="92"/>
      <c r="G395" s="92"/>
      <c r="H395" s="92"/>
      <c r="I395" s="92"/>
      <c r="J395" s="92"/>
      <c r="K395" s="92"/>
      <c r="L395" s="92"/>
      <c r="M395" s="92"/>
      <c r="N395" s="92"/>
      <c r="O395" s="92"/>
      <c r="P395" s="92"/>
      <c r="Q395" s="92"/>
      <c r="R395" s="92"/>
      <c r="S395" s="92"/>
      <c r="T395" s="92"/>
      <c r="U395" s="92"/>
      <c r="V395" s="92"/>
      <c r="W395" s="92"/>
      <c r="X395" s="92"/>
      <c r="Y395" s="92"/>
      <c r="Z395" s="92"/>
    </row>
    <row r="396" spans="1:26" hidden="1">
      <c r="A396" s="92"/>
      <c r="B396" s="92"/>
      <c r="C396" s="92"/>
      <c r="D396" s="92"/>
      <c r="E396" s="92"/>
      <c r="F396" s="92"/>
      <c r="G396" s="92"/>
      <c r="H396" s="92"/>
      <c r="I396" s="92"/>
      <c r="J396" s="92"/>
      <c r="K396" s="92"/>
      <c r="L396" s="92"/>
      <c r="M396" s="92"/>
      <c r="N396" s="92"/>
      <c r="O396" s="92"/>
      <c r="P396" s="92"/>
      <c r="Q396" s="92"/>
      <c r="R396" s="92"/>
      <c r="S396" s="92"/>
      <c r="T396" s="92"/>
      <c r="U396" s="92"/>
      <c r="V396" s="92"/>
      <c r="W396" s="92"/>
      <c r="X396" s="92"/>
      <c r="Y396" s="92"/>
      <c r="Z396" s="92"/>
    </row>
    <row r="397" spans="1:26" hidden="1">
      <c r="A397" s="92"/>
      <c r="B397" s="92"/>
      <c r="C397" s="92"/>
      <c r="D397" s="92"/>
      <c r="E397" s="92"/>
      <c r="F397" s="92"/>
      <c r="G397" s="92"/>
      <c r="H397" s="92"/>
      <c r="I397" s="92"/>
      <c r="J397" s="92"/>
      <c r="K397" s="92"/>
      <c r="L397" s="92"/>
      <c r="M397" s="92"/>
      <c r="N397" s="92"/>
      <c r="O397" s="92"/>
      <c r="P397" s="92"/>
      <c r="Q397" s="92"/>
      <c r="R397" s="92"/>
      <c r="S397" s="92"/>
      <c r="T397" s="92"/>
      <c r="U397" s="92"/>
      <c r="V397" s="92"/>
      <c r="W397" s="92"/>
      <c r="X397" s="92"/>
      <c r="Y397" s="92"/>
      <c r="Z397" s="92"/>
    </row>
    <row r="398" spans="1:26" hidden="1">
      <c r="A398" s="92"/>
      <c r="B398" s="92"/>
      <c r="C398" s="92"/>
      <c r="D398" s="92"/>
      <c r="E398" s="92"/>
      <c r="F398" s="92"/>
      <c r="G398" s="92"/>
      <c r="H398" s="92"/>
      <c r="I398" s="92"/>
      <c r="J398" s="92"/>
      <c r="K398" s="92"/>
      <c r="L398" s="92"/>
      <c r="M398" s="92"/>
      <c r="N398" s="92"/>
      <c r="O398" s="92"/>
      <c r="P398" s="92"/>
      <c r="Q398" s="92"/>
      <c r="R398" s="92"/>
      <c r="S398" s="92"/>
      <c r="T398" s="92"/>
      <c r="U398" s="92"/>
      <c r="V398" s="92"/>
      <c r="W398" s="92"/>
      <c r="X398" s="92"/>
      <c r="Y398" s="92"/>
      <c r="Z398" s="92"/>
    </row>
    <row r="399" spans="1:26" hidden="1">
      <c r="A399" s="92"/>
      <c r="B399" s="92"/>
      <c r="C399" s="92"/>
      <c r="D399" s="92"/>
      <c r="E399" s="92"/>
      <c r="F399" s="92"/>
      <c r="G399" s="92"/>
      <c r="H399" s="92"/>
      <c r="I399" s="92"/>
      <c r="J399" s="92"/>
      <c r="K399" s="92"/>
      <c r="L399" s="92"/>
      <c r="M399" s="92"/>
      <c r="N399" s="92"/>
      <c r="O399" s="92"/>
      <c r="P399" s="92"/>
      <c r="Q399" s="92"/>
      <c r="R399" s="92"/>
      <c r="S399" s="92"/>
      <c r="T399" s="92"/>
      <c r="U399" s="92"/>
      <c r="V399" s="92"/>
      <c r="W399" s="92"/>
      <c r="X399" s="92"/>
      <c r="Y399" s="92"/>
      <c r="Z399" s="92"/>
    </row>
    <row r="400" spans="1:26" hidden="1">
      <c r="A400" s="92"/>
      <c r="B400" s="92"/>
      <c r="C400" s="92"/>
      <c r="D400" s="92"/>
      <c r="E400" s="92"/>
      <c r="F400" s="92"/>
      <c r="G400" s="92"/>
      <c r="H400" s="92"/>
      <c r="I400" s="92"/>
      <c r="J400" s="92"/>
      <c r="K400" s="92"/>
      <c r="L400" s="92"/>
      <c r="M400" s="92"/>
      <c r="N400" s="92"/>
      <c r="O400" s="92"/>
      <c r="P400" s="92"/>
      <c r="Q400" s="92"/>
      <c r="R400" s="92"/>
      <c r="S400" s="92"/>
      <c r="T400" s="92"/>
      <c r="U400" s="92"/>
      <c r="V400" s="92"/>
      <c r="W400" s="92"/>
      <c r="X400" s="92"/>
      <c r="Y400" s="92"/>
      <c r="Z400" s="92"/>
    </row>
    <row r="401" spans="1:26" hidden="1">
      <c r="A401" s="92"/>
      <c r="B401" s="92"/>
      <c r="C401" s="92"/>
      <c r="D401" s="92"/>
      <c r="E401" s="92"/>
      <c r="F401" s="92"/>
      <c r="G401" s="92"/>
      <c r="H401" s="92"/>
      <c r="I401" s="92"/>
      <c r="J401" s="92"/>
      <c r="K401" s="92"/>
      <c r="L401" s="92"/>
      <c r="M401" s="92"/>
      <c r="N401" s="92"/>
      <c r="O401" s="92"/>
      <c r="P401" s="92"/>
      <c r="Q401" s="92"/>
      <c r="R401" s="92"/>
      <c r="S401" s="92"/>
      <c r="T401" s="92"/>
      <c r="U401" s="92"/>
      <c r="V401" s="92"/>
      <c r="W401" s="92"/>
      <c r="X401" s="92"/>
      <c r="Y401" s="92"/>
      <c r="Z401" s="92"/>
    </row>
    <row r="402" spans="1:26" hidden="1">
      <c r="A402" s="92"/>
      <c r="B402" s="92"/>
      <c r="C402" s="92"/>
      <c r="D402" s="92"/>
      <c r="E402" s="92"/>
      <c r="F402" s="92"/>
      <c r="G402" s="92"/>
      <c r="H402" s="92"/>
      <c r="I402" s="92"/>
      <c r="J402" s="92"/>
      <c r="K402" s="92"/>
      <c r="L402" s="92"/>
      <c r="M402" s="92"/>
      <c r="N402" s="92"/>
      <c r="O402" s="92"/>
      <c r="P402" s="92"/>
      <c r="Q402" s="92"/>
      <c r="R402" s="92"/>
      <c r="S402" s="92"/>
      <c r="T402" s="92"/>
      <c r="U402" s="92"/>
      <c r="V402" s="92"/>
      <c r="W402" s="92"/>
      <c r="X402" s="92"/>
      <c r="Y402" s="92"/>
      <c r="Z402" s="92"/>
    </row>
    <row r="403" spans="1:26" hidden="1">
      <c r="A403" s="92"/>
      <c r="B403" s="92"/>
      <c r="C403" s="92"/>
      <c r="D403" s="92"/>
      <c r="E403" s="92"/>
      <c r="F403" s="92"/>
      <c r="G403" s="92"/>
      <c r="H403" s="92"/>
      <c r="I403" s="92"/>
      <c r="J403" s="92"/>
      <c r="K403" s="92"/>
      <c r="L403" s="92"/>
      <c r="M403" s="92"/>
      <c r="N403" s="92"/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  <c r="Z403" s="92"/>
    </row>
    <row r="404" spans="1:26" hidden="1">
      <c r="A404" s="92"/>
      <c r="B404" s="92"/>
      <c r="C404" s="92"/>
      <c r="D404" s="92"/>
      <c r="E404" s="92"/>
      <c r="F404" s="92"/>
      <c r="G404" s="92"/>
      <c r="H404" s="92"/>
      <c r="I404" s="92"/>
      <c r="J404" s="92"/>
      <c r="K404" s="92"/>
      <c r="L404" s="92"/>
      <c r="M404" s="92"/>
      <c r="N404" s="92"/>
      <c r="O404" s="92"/>
      <c r="P404" s="92"/>
      <c r="Q404" s="92"/>
      <c r="R404" s="92"/>
      <c r="S404" s="92"/>
      <c r="T404" s="92"/>
      <c r="U404" s="92"/>
      <c r="V404" s="92"/>
      <c r="W404" s="92"/>
      <c r="X404" s="92"/>
      <c r="Y404" s="92"/>
      <c r="Z404" s="92"/>
    </row>
    <row r="405" spans="1:26" hidden="1">
      <c r="A405" s="92"/>
      <c r="B405" s="92"/>
      <c r="C405" s="92"/>
      <c r="D405" s="92"/>
      <c r="E405" s="92"/>
      <c r="F405" s="92"/>
      <c r="G405" s="92"/>
      <c r="H405" s="92"/>
      <c r="I405" s="92"/>
      <c r="J405" s="92"/>
      <c r="K405" s="92"/>
      <c r="L405" s="92"/>
      <c r="M405" s="92"/>
      <c r="N405" s="92"/>
      <c r="O405" s="92"/>
      <c r="P405" s="92"/>
      <c r="Q405" s="92"/>
      <c r="R405" s="92"/>
      <c r="S405" s="92"/>
      <c r="T405" s="92"/>
      <c r="U405" s="92"/>
      <c r="V405" s="92"/>
      <c r="W405" s="92"/>
      <c r="X405" s="92"/>
      <c r="Y405" s="92"/>
      <c r="Z405" s="92"/>
    </row>
    <row r="406" spans="1:26" hidden="1">
      <c r="A406" s="92"/>
      <c r="B406" s="92"/>
      <c r="C406" s="92"/>
      <c r="D406" s="92"/>
      <c r="E406" s="92"/>
      <c r="F406" s="92"/>
      <c r="G406" s="92"/>
      <c r="H406" s="92"/>
      <c r="I406" s="92"/>
      <c r="J406" s="92"/>
      <c r="K406" s="92"/>
      <c r="L406" s="92"/>
      <c r="M406" s="92"/>
      <c r="N406" s="92"/>
      <c r="O406" s="92"/>
      <c r="P406" s="92"/>
      <c r="Q406" s="92"/>
      <c r="R406" s="92"/>
      <c r="S406" s="92"/>
      <c r="T406" s="92"/>
      <c r="U406" s="92"/>
      <c r="V406" s="92"/>
      <c r="W406" s="92"/>
      <c r="X406" s="92"/>
      <c r="Y406" s="92"/>
      <c r="Z406" s="92"/>
    </row>
    <row r="407" spans="1:26" hidden="1">
      <c r="A407" s="92"/>
      <c r="B407" s="92"/>
      <c r="C407" s="92"/>
      <c r="D407" s="92"/>
      <c r="E407" s="92"/>
      <c r="F407" s="92"/>
      <c r="G407" s="92"/>
      <c r="H407" s="92"/>
      <c r="I407" s="92"/>
      <c r="J407" s="92"/>
      <c r="K407" s="92"/>
      <c r="L407" s="92"/>
      <c r="M407" s="92"/>
      <c r="N407" s="92"/>
      <c r="O407" s="92"/>
      <c r="P407" s="92"/>
      <c r="Q407" s="92"/>
      <c r="R407" s="92"/>
      <c r="S407" s="92"/>
      <c r="T407" s="92"/>
      <c r="U407" s="92"/>
      <c r="V407" s="92"/>
      <c r="W407" s="92"/>
      <c r="X407" s="92"/>
      <c r="Y407" s="92"/>
      <c r="Z407" s="92"/>
    </row>
    <row r="408" spans="1:26" hidden="1">
      <c r="A408" s="92"/>
      <c r="B408" s="92"/>
      <c r="C408" s="92"/>
      <c r="D408" s="92"/>
      <c r="E408" s="92"/>
      <c r="F408" s="92"/>
      <c r="G408" s="92"/>
      <c r="H408" s="92"/>
      <c r="I408" s="92"/>
      <c r="J408" s="92"/>
      <c r="K408" s="92"/>
      <c r="L408" s="92"/>
      <c r="M408" s="92"/>
      <c r="N408" s="92"/>
      <c r="O408" s="92"/>
      <c r="P408" s="92"/>
      <c r="Q408" s="92"/>
      <c r="R408" s="92"/>
      <c r="S408" s="92"/>
      <c r="T408" s="92"/>
      <c r="U408" s="92"/>
      <c r="V408" s="92"/>
      <c r="W408" s="92"/>
      <c r="X408" s="92"/>
      <c r="Y408" s="92"/>
      <c r="Z408" s="92"/>
    </row>
    <row r="409" spans="1:26" hidden="1">
      <c r="A409" s="92"/>
      <c r="B409" s="92"/>
      <c r="C409" s="92"/>
      <c r="D409" s="92"/>
      <c r="E409" s="92"/>
      <c r="F409" s="92"/>
      <c r="G409" s="92"/>
      <c r="H409" s="92"/>
      <c r="I409" s="92"/>
      <c r="J409" s="92"/>
      <c r="K409" s="92"/>
      <c r="L409" s="92"/>
      <c r="M409" s="92"/>
      <c r="N409" s="92"/>
      <c r="O409" s="92"/>
      <c r="P409" s="92"/>
      <c r="Q409" s="92"/>
      <c r="R409" s="92"/>
      <c r="S409" s="92"/>
      <c r="T409" s="92"/>
      <c r="U409" s="92"/>
      <c r="V409" s="92"/>
      <c r="W409" s="92"/>
      <c r="X409" s="92"/>
      <c r="Y409" s="92"/>
      <c r="Z409" s="92"/>
    </row>
    <row r="410" spans="1:26" hidden="1">
      <c r="A410" s="92"/>
      <c r="B410" s="92"/>
      <c r="C410" s="92"/>
      <c r="D410" s="92"/>
      <c r="E410" s="92"/>
      <c r="F410" s="92"/>
      <c r="G410" s="92"/>
      <c r="H410" s="92"/>
      <c r="I410" s="92"/>
      <c r="J410" s="92"/>
      <c r="K410" s="92"/>
      <c r="L410" s="92"/>
      <c r="M410" s="92"/>
      <c r="N410" s="92"/>
      <c r="O410" s="92"/>
      <c r="P410" s="92"/>
      <c r="Q410" s="92"/>
      <c r="R410" s="92"/>
      <c r="S410" s="92"/>
      <c r="T410" s="92"/>
      <c r="U410" s="92"/>
      <c r="V410" s="92"/>
      <c r="W410" s="92"/>
      <c r="X410" s="92"/>
      <c r="Y410" s="92"/>
      <c r="Z410" s="92"/>
    </row>
    <row r="411" spans="1:26" hidden="1">
      <c r="A411" s="92"/>
      <c r="B411" s="92"/>
      <c r="C411" s="92"/>
      <c r="D411" s="92"/>
      <c r="E411" s="92"/>
      <c r="F411" s="92"/>
      <c r="G411" s="92"/>
      <c r="H411" s="92"/>
      <c r="I411" s="92"/>
      <c r="J411" s="92"/>
      <c r="K411" s="92"/>
      <c r="L411" s="92"/>
      <c r="M411" s="92"/>
      <c r="N411" s="92"/>
      <c r="O411" s="92"/>
      <c r="P411" s="92"/>
      <c r="Q411" s="92"/>
      <c r="R411" s="92"/>
      <c r="S411" s="92"/>
      <c r="T411" s="92"/>
      <c r="U411" s="92"/>
      <c r="V411" s="92"/>
      <c r="W411" s="92"/>
      <c r="X411" s="92"/>
      <c r="Y411" s="92"/>
      <c r="Z411" s="92"/>
    </row>
    <row r="412" spans="1:26" hidden="1">
      <c r="A412" s="92"/>
      <c r="B412" s="92"/>
      <c r="C412" s="92"/>
      <c r="D412" s="92"/>
      <c r="E412" s="92"/>
      <c r="F412" s="92"/>
      <c r="G412" s="92"/>
      <c r="H412" s="92"/>
      <c r="I412" s="92"/>
      <c r="J412" s="92"/>
      <c r="K412" s="92"/>
      <c r="L412" s="92"/>
      <c r="M412" s="92"/>
      <c r="N412" s="92"/>
      <c r="O412" s="92"/>
      <c r="P412" s="92"/>
      <c r="Q412" s="92"/>
      <c r="R412" s="92"/>
      <c r="S412" s="92"/>
      <c r="T412" s="92"/>
      <c r="U412" s="92"/>
      <c r="V412" s="92"/>
      <c r="W412" s="92"/>
      <c r="X412" s="92"/>
      <c r="Y412" s="92"/>
      <c r="Z412" s="92"/>
    </row>
    <row r="413" spans="1:26" hidden="1">
      <c r="A413" s="92"/>
      <c r="B413" s="92"/>
      <c r="C413" s="92"/>
      <c r="D413" s="92"/>
      <c r="E413" s="92"/>
      <c r="F413" s="92"/>
      <c r="G413" s="92"/>
      <c r="H413" s="92"/>
      <c r="I413" s="92"/>
      <c r="J413" s="92"/>
      <c r="K413" s="92"/>
      <c r="L413" s="92"/>
      <c r="M413" s="92"/>
      <c r="N413" s="92"/>
      <c r="O413" s="92"/>
      <c r="P413" s="92"/>
      <c r="Q413" s="92"/>
      <c r="R413" s="92"/>
      <c r="S413" s="92"/>
      <c r="T413" s="92"/>
      <c r="U413" s="92"/>
      <c r="V413" s="92"/>
      <c r="W413" s="92"/>
      <c r="X413" s="92"/>
      <c r="Y413" s="92"/>
      <c r="Z413" s="92"/>
    </row>
    <row r="414" spans="1:26" hidden="1">
      <c r="A414" s="92"/>
      <c r="B414" s="92"/>
      <c r="C414" s="92"/>
      <c r="D414" s="92"/>
      <c r="E414" s="92"/>
      <c r="F414" s="92"/>
      <c r="G414" s="92"/>
      <c r="H414" s="92"/>
      <c r="I414" s="92"/>
      <c r="J414" s="92"/>
      <c r="K414" s="92"/>
      <c r="L414" s="92"/>
      <c r="M414" s="92"/>
      <c r="N414" s="92"/>
      <c r="O414" s="92"/>
      <c r="P414" s="92"/>
      <c r="Q414" s="92"/>
      <c r="R414" s="92"/>
      <c r="S414" s="92"/>
      <c r="T414" s="92"/>
      <c r="U414" s="92"/>
      <c r="V414" s="92"/>
      <c r="W414" s="92"/>
      <c r="X414" s="92"/>
      <c r="Y414" s="92"/>
      <c r="Z414" s="92"/>
    </row>
    <row r="415" spans="1:26" hidden="1">
      <c r="A415" s="92"/>
      <c r="B415" s="92"/>
      <c r="C415" s="92"/>
      <c r="D415" s="92"/>
      <c r="E415" s="92"/>
      <c r="F415" s="92"/>
      <c r="G415" s="92"/>
      <c r="H415" s="92"/>
      <c r="I415" s="92"/>
      <c r="J415" s="92"/>
      <c r="K415" s="92"/>
      <c r="L415" s="92"/>
      <c r="M415" s="92"/>
      <c r="N415" s="92"/>
      <c r="O415" s="92"/>
      <c r="P415" s="92"/>
      <c r="Q415" s="92"/>
      <c r="R415" s="92"/>
      <c r="S415" s="92"/>
      <c r="T415" s="92"/>
      <c r="U415" s="92"/>
      <c r="V415" s="92"/>
      <c r="W415" s="92"/>
      <c r="X415" s="92"/>
      <c r="Y415" s="92"/>
      <c r="Z415" s="92"/>
    </row>
    <row r="416" spans="1:26" hidden="1">
      <c r="A416" s="92"/>
      <c r="B416" s="92"/>
      <c r="C416" s="92"/>
      <c r="D416" s="92"/>
      <c r="E416" s="92"/>
      <c r="F416" s="92"/>
      <c r="G416" s="92"/>
      <c r="H416" s="92"/>
      <c r="I416" s="92"/>
      <c r="J416" s="92"/>
      <c r="K416" s="92"/>
      <c r="L416" s="92"/>
      <c r="M416" s="92"/>
      <c r="N416" s="92"/>
      <c r="O416" s="92"/>
      <c r="P416" s="92"/>
      <c r="Q416" s="92"/>
      <c r="R416" s="92"/>
      <c r="S416" s="92"/>
      <c r="T416" s="92"/>
      <c r="U416" s="92"/>
      <c r="V416" s="92"/>
      <c r="W416" s="92"/>
      <c r="X416" s="92"/>
      <c r="Y416" s="92"/>
      <c r="Z416" s="92"/>
    </row>
    <row r="417" spans="1:26" hidden="1">
      <c r="A417" s="92"/>
      <c r="B417" s="92"/>
      <c r="C417" s="92"/>
      <c r="D417" s="92"/>
      <c r="E417" s="92"/>
      <c r="F417" s="92"/>
      <c r="G417" s="92"/>
      <c r="H417" s="92"/>
      <c r="I417" s="92"/>
      <c r="J417" s="92"/>
      <c r="K417" s="92"/>
      <c r="L417" s="92"/>
      <c r="M417" s="92"/>
      <c r="N417" s="92"/>
      <c r="O417" s="92"/>
      <c r="P417" s="92"/>
      <c r="Q417" s="92"/>
      <c r="R417" s="92"/>
      <c r="S417" s="92"/>
      <c r="T417" s="92"/>
      <c r="U417" s="92"/>
      <c r="V417" s="92"/>
      <c r="W417" s="92"/>
      <c r="X417" s="92"/>
      <c r="Y417" s="92"/>
      <c r="Z417" s="92"/>
    </row>
    <row r="418" spans="1:26" hidden="1">
      <c r="A418" s="92"/>
      <c r="B418" s="92"/>
      <c r="C418" s="92"/>
      <c r="D418" s="92"/>
      <c r="E418" s="92"/>
      <c r="F418" s="92"/>
      <c r="G418" s="92"/>
      <c r="H418" s="92"/>
      <c r="I418" s="92"/>
      <c r="J418" s="92"/>
      <c r="K418" s="92"/>
      <c r="L418" s="92"/>
      <c r="M418" s="92"/>
      <c r="N418" s="92"/>
      <c r="O418" s="92"/>
      <c r="P418" s="92"/>
      <c r="Q418" s="92"/>
      <c r="R418" s="92"/>
      <c r="S418" s="92"/>
      <c r="T418" s="92"/>
      <c r="U418" s="92"/>
      <c r="V418" s="92"/>
      <c r="W418" s="92"/>
      <c r="X418" s="92"/>
      <c r="Y418" s="92"/>
      <c r="Z418" s="92"/>
    </row>
    <row r="419" spans="1:26" hidden="1">
      <c r="A419" s="92"/>
      <c r="B419" s="92"/>
      <c r="C419" s="92"/>
      <c r="D419" s="92"/>
      <c r="E419" s="92"/>
      <c r="F419" s="92"/>
      <c r="G419" s="92"/>
      <c r="H419" s="92"/>
      <c r="I419" s="92"/>
      <c r="J419" s="92"/>
      <c r="K419" s="92"/>
      <c r="L419" s="92"/>
      <c r="M419" s="92"/>
      <c r="N419" s="92"/>
      <c r="O419" s="92"/>
      <c r="P419" s="92"/>
      <c r="Q419" s="92"/>
      <c r="R419" s="92"/>
      <c r="S419" s="92"/>
      <c r="T419" s="92"/>
      <c r="U419" s="92"/>
      <c r="V419" s="92"/>
      <c r="W419" s="92"/>
      <c r="X419" s="92"/>
      <c r="Y419" s="92"/>
      <c r="Z419" s="92"/>
    </row>
    <row r="420" spans="1:26" hidden="1">
      <c r="A420" s="92"/>
      <c r="B420" s="92"/>
      <c r="C420" s="92"/>
      <c r="D420" s="92"/>
      <c r="E420" s="92"/>
      <c r="F420" s="92"/>
      <c r="G420" s="92"/>
      <c r="H420" s="92"/>
      <c r="I420" s="92"/>
      <c r="J420" s="92"/>
      <c r="K420" s="92"/>
      <c r="L420" s="92"/>
      <c r="M420" s="92"/>
      <c r="N420" s="92"/>
      <c r="O420" s="92"/>
      <c r="P420" s="92"/>
      <c r="Q420" s="92"/>
      <c r="R420" s="92"/>
      <c r="S420" s="92"/>
      <c r="T420" s="92"/>
      <c r="U420" s="92"/>
      <c r="V420" s="92"/>
      <c r="W420" s="92"/>
      <c r="X420" s="92"/>
      <c r="Y420" s="92"/>
      <c r="Z420" s="92"/>
    </row>
    <row r="421" spans="1:26" hidden="1">
      <c r="A421" s="92"/>
      <c r="B421" s="92"/>
      <c r="C421" s="92"/>
      <c r="D421" s="92"/>
      <c r="E421" s="92"/>
      <c r="F421" s="92"/>
      <c r="G421" s="92"/>
      <c r="H421" s="92"/>
      <c r="I421" s="92"/>
      <c r="J421" s="92"/>
      <c r="K421" s="92"/>
      <c r="L421" s="92"/>
      <c r="M421" s="92"/>
      <c r="N421" s="92"/>
      <c r="O421" s="92"/>
      <c r="P421" s="92"/>
      <c r="Q421" s="92"/>
      <c r="R421" s="92"/>
      <c r="S421" s="92"/>
      <c r="T421" s="92"/>
      <c r="U421" s="92"/>
      <c r="V421" s="92"/>
      <c r="W421" s="92"/>
      <c r="X421" s="92"/>
      <c r="Y421" s="92"/>
      <c r="Z421" s="92"/>
    </row>
    <row r="422" spans="1:26" hidden="1">
      <c r="A422" s="92"/>
      <c r="B422" s="92"/>
      <c r="C422" s="92"/>
      <c r="D422" s="92"/>
      <c r="E422" s="92"/>
      <c r="F422" s="92"/>
      <c r="G422" s="92"/>
      <c r="H422" s="92"/>
      <c r="I422" s="92"/>
      <c r="J422" s="92"/>
      <c r="K422" s="92"/>
      <c r="L422" s="92"/>
      <c r="M422" s="92"/>
      <c r="N422" s="92"/>
      <c r="O422" s="92"/>
      <c r="P422" s="92"/>
      <c r="Q422" s="92"/>
      <c r="R422" s="92"/>
      <c r="S422" s="92"/>
      <c r="T422" s="92"/>
      <c r="U422" s="92"/>
      <c r="V422" s="92"/>
      <c r="W422" s="92"/>
      <c r="X422" s="92"/>
      <c r="Y422" s="92"/>
      <c r="Z422" s="92"/>
    </row>
    <row r="423" spans="1:26" hidden="1">
      <c r="A423" s="92"/>
      <c r="B423" s="92"/>
      <c r="C423" s="92"/>
      <c r="D423" s="92"/>
      <c r="E423" s="92"/>
      <c r="F423" s="92"/>
      <c r="G423" s="92"/>
      <c r="H423" s="92"/>
      <c r="I423" s="92"/>
      <c r="J423" s="92"/>
      <c r="K423" s="92"/>
      <c r="L423" s="92"/>
      <c r="M423" s="92"/>
      <c r="N423" s="92"/>
      <c r="O423" s="92"/>
      <c r="P423" s="92"/>
      <c r="Q423" s="92"/>
      <c r="R423" s="92"/>
      <c r="S423" s="92"/>
      <c r="T423" s="92"/>
      <c r="U423" s="92"/>
      <c r="V423" s="92"/>
      <c r="W423" s="92"/>
      <c r="X423" s="92"/>
      <c r="Y423" s="92"/>
      <c r="Z423" s="92"/>
    </row>
    <row r="424" spans="1:26" hidden="1">
      <c r="A424" s="92"/>
      <c r="B424" s="92"/>
      <c r="C424" s="92"/>
      <c r="D424" s="92"/>
      <c r="E424" s="92"/>
      <c r="F424" s="92"/>
      <c r="G424" s="92"/>
      <c r="H424" s="92"/>
      <c r="I424" s="92"/>
      <c r="J424" s="92"/>
      <c r="K424" s="92"/>
      <c r="L424" s="92"/>
      <c r="M424" s="92"/>
      <c r="N424" s="92"/>
      <c r="O424" s="92"/>
      <c r="P424" s="92"/>
      <c r="Q424" s="92"/>
      <c r="R424" s="92"/>
      <c r="S424" s="92"/>
      <c r="T424" s="92"/>
      <c r="U424" s="92"/>
      <c r="V424" s="92"/>
      <c r="W424" s="92"/>
      <c r="X424" s="92"/>
      <c r="Y424" s="92"/>
      <c r="Z424" s="92"/>
    </row>
    <row r="425" spans="1:26" hidden="1">
      <c r="A425" s="92"/>
      <c r="B425" s="92"/>
      <c r="C425" s="92"/>
      <c r="D425" s="92"/>
      <c r="E425" s="92"/>
      <c r="F425" s="92"/>
      <c r="G425" s="92"/>
      <c r="H425" s="92"/>
      <c r="I425" s="92"/>
      <c r="J425" s="92"/>
      <c r="K425" s="92"/>
      <c r="L425" s="92"/>
      <c r="M425" s="92"/>
      <c r="N425" s="92"/>
      <c r="O425" s="92"/>
      <c r="P425" s="92"/>
      <c r="Q425" s="92"/>
      <c r="R425" s="92"/>
      <c r="S425" s="92"/>
      <c r="T425" s="92"/>
      <c r="U425" s="92"/>
      <c r="V425" s="92"/>
      <c r="W425" s="92"/>
      <c r="X425" s="92"/>
      <c r="Y425" s="92"/>
      <c r="Z425" s="92"/>
    </row>
    <row r="426" spans="1:26" hidden="1">
      <c r="A426" s="92"/>
      <c r="B426" s="92"/>
      <c r="C426" s="92"/>
      <c r="D426" s="92"/>
      <c r="E426" s="92"/>
      <c r="F426" s="92"/>
      <c r="G426" s="92"/>
      <c r="H426" s="92"/>
      <c r="I426" s="92"/>
      <c r="J426" s="92"/>
      <c r="K426" s="92"/>
      <c r="L426" s="92"/>
      <c r="M426" s="92"/>
      <c r="N426" s="92"/>
      <c r="O426" s="92"/>
      <c r="P426" s="92"/>
      <c r="Q426" s="92"/>
      <c r="R426" s="92"/>
      <c r="S426" s="92"/>
      <c r="T426" s="92"/>
      <c r="U426" s="92"/>
      <c r="V426" s="92"/>
      <c r="W426" s="92"/>
      <c r="X426" s="92"/>
      <c r="Y426" s="92"/>
      <c r="Z426" s="92"/>
    </row>
    <row r="427" spans="1:26" hidden="1">
      <c r="A427" s="92"/>
      <c r="B427" s="92"/>
      <c r="C427" s="92"/>
      <c r="D427" s="92"/>
      <c r="E427" s="92"/>
      <c r="F427" s="92"/>
      <c r="G427" s="92"/>
      <c r="H427" s="92"/>
      <c r="I427" s="92"/>
      <c r="J427" s="92"/>
      <c r="K427" s="92"/>
      <c r="L427" s="92"/>
      <c r="M427" s="92"/>
      <c r="N427" s="92"/>
      <c r="O427" s="92"/>
      <c r="P427" s="92"/>
      <c r="Q427" s="92"/>
      <c r="R427" s="92"/>
      <c r="S427" s="92"/>
      <c r="T427" s="92"/>
      <c r="U427" s="92"/>
      <c r="V427" s="92"/>
      <c r="W427" s="92"/>
      <c r="X427" s="92"/>
      <c r="Y427" s="92"/>
      <c r="Z427" s="92"/>
    </row>
    <row r="428" spans="1:26" hidden="1">
      <c r="A428" s="92"/>
      <c r="B428" s="92"/>
      <c r="C428" s="92"/>
      <c r="D428" s="92"/>
      <c r="E428" s="92"/>
      <c r="F428" s="92"/>
      <c r="G428" s="92"/>
      <c r="H428" s="92"/>
      <c r="I428" s="92"/>
      <c r="J428" s="92"/>
      <c r="K428" s="92"/>
      <c r="L428" s="92"/>
      <c r="M428" s="92"/>
      <c r="N428" s="92"/>
      <c r="O428" s="92"/>
      <c r="P428" s="92"/>
      <c r="Q428" s="92"/>
      <c r="R428" s="92"/>
      <c r="S428" s="92"/>
      <c r="T428" s="92"/>
      <c r="U428" s="92"/>
      <c r="V428" s="92"/>
      <c r="W428" s="92"/>
      <c r="X428" s="92"/>
      <c r="Y428" s="92"/>
      <c r="Z428" s="92"/>
    </row>
    <row r="429" spans="1:26" hidden="1">
      <c r="A429" s="92"/>
      <c r="B429" s="92"/>
      <c r="C429" s="92"/>
      <c r="D429" s="92"/>
      <c r="E429" s="92"/>
      <c r="F429" s="92"/>
      <c r="G429" s="92"/>
      <c r="H429" s="92"/>
      <c r="I429" s="92"/>
      <c r="J429" s="92"/>
      <c r="K429" s="92"/>
      <c r="L429" s="92"/>
      <c r="M429" s="92"/>
      <c r="N429" s="92"/>
      <c r="O429" s="92"/>
      <c r="P429" s="92"/>
      <c r="Q429" s="92"/>
      <c r="R429" s="92"/>
      <c r="S429" s="92"/>
      <c r="T429" s="92"/>
      <c r="U429" s="92"/>
      <c r="V429" s="92"/>
      <c r="W429" s="92"/>
      <c r="X429" s="92"/>
      <c r="Y429" s="92"/>
      <c r="Z429" s="92"/>
    </row>
    <row r="430" spans="1:26" hidden="1">
      <c r="A430" s="92"/>
      <c r="B430" s="92"/>
      <c r="C430" s="92"/>
      <c r="D430" s="92"/>
      <c r="E430" s="92"/>
      <c r="F430" s="92"/>
      <c r="G430" s="92"/>
      <c r="H430" s="92"/>
      <c r="I430" s="92"/>
      <c r="J430" s="92"/>
      <c r="K430" s="92"/>
      <c r="L430" s="92"/>
      <c r="M430" s="92"/>
      <c r="N430" s="92"/>
      <c r="O430" s="92"/>
      <c r="P430" s="92"/>
      <c r="Q430" s="92"/>
      <c r="R430" s="92"/>
      <c r="S430" s="92"/>
      <c r="T430" s="92"/>
      <c r="U430" s="92"/>
      <c r="V430" s="92"/>
      <c r="W430" s="92"/>
      <c r="X430" s="92"/>
      <c r="Y430" s="92"/>
      <c r="Z430" s="92"/>
    </row>
    <row r="431" spans="1:26" hidden="1">
      <c r="A431" s="92"/>
      <c r="B431" s="92"/>
      <c r="C431" s="92"/>
      <c r="D431" s="92"/>
      <c r="E431" s="92"/>
      <c r="F431" s="92"/>
      <c r="G431" s="92"/>
      <c r="H431" s="92"/>
      <c r="I431" s="92"/>
      <c r="J431" s="92"/>
      <c r="K431" s="92"/>
      <c r="L431" s="92"/>
      <c r="M431" s="92"/>
      <c r="N431" s="92"/>
      <c r="O431" s="92"/>
      <c r="P431" s="92"/>
      <c r="Q431" s="92"/>
      <c r="R431" s="92"/>
      <c r="S431" s="92"/>
      <c r="T431" s="92"/>
      <c r="U431" s="92"/>
      <c r="V431" s="92"/>
      <c r="W431" s="92"/>
      <c r="X431" s="92"/>
      <c r="Y431" s="92"/>
      <c r="Z431" s="92"/>
    </row>
    <row r="432" spans="1:26" hidden="1">
      <c r="A432" s="92"/>
      <c r="B432" s="92"/>
      <c r="C432" s="92"/>
      <c r="D432" s="92"/>
      <c r="E432" s="92"/>
      <c r="F432" s="92"/>
      <c r="G432" s="92"/>
      <c r="H432" s="92"/>
      <c r="I432" s="92"/>
      <c r="J432" s="92"/>
      <c r="K432" s="92"/>
      <c r="L432" s="92"/>
      <c r="M432" s="92"/>
      <c r="N432" s="92"/>
      <c r="O432" s="92"/>
      <c r="P432" s="92"/>
      <c r="Q432" s="92"/>
      <c r="R432" s="92"/>
      <c r="S432" s="92"/>
      <c r="T432" s="92"/>
      <c r="U432" s="92"/>
      <c r="V432" s="92"/>
      <c r="W432" s="92"/>
      <c r="X432" s="92"/>
      <c r="Y432" s="92"/>
      <c r="Z432" s="92"/>
    </row>
    <row r="433" spans="1:26" hidden="1">
      <c r="A433" s="92"/>
      <c r="B433" s="92"/>
      <c r="C433" s="92"/>
      <c r="D433" s="92"/>
      <c r="E433" s="92"/>
      <c r="F433" s="92"/>
      <c r="G433" s="92"/>
      <c r="H433" s="92"/>
      <c r="I433" s="92"/>
      <c r="J433" s="92"/>
      <c r="K433" s="92"/>
      <c r="L433" s="92"/>
      <c r="M433" s="92"/>
      <c r="N433" s="92"/>
      <c r="O433" s="92"/>
      <c r="P433" s="92"/>
      <c r="Q433" s="92"/>
      <c r="R433" s="92"/>
      <c r="S433" s="92"/>
      <c r="T433" s="92"/>
      <c r="U433" s="92"/>
      <c r="V433" s="92"/>
      <c r="W433" s="92"/>
      <c r="X433" s="92"/>
      <c r="Y433" s="92"/>
      <c r="Z433" s="92"/>
    </row>
    <row r="434" spans="1:26" hidden="1">
      <c r="A434" s="92"/>
      <c r="B434" s="92"/>
      <c r="C434" s="92"/>
      <c r="D434" s="92"/>
      <c r="E434" s="92"/>
      <c r="F434" s="92"/>
      <c r="G434" s="92"/>
      <c r="H434" s="92"/>
      <c r="I434" s="92"/>
      <c r="J434" s="92"/>
      <c r="K434" s="92"/>
      <c r="L434" s="92"/>
      <c r="M434" s="92"/>
      <c r="N434" s="92"/>
      <c r="O434" s="92"/>
      <c r="P434" s="92"/>
      <c r="Q434" s="92"/>
      <c r="R434" s="92"/>
      <c r="S434" s="92"/>
      <c r="T434" s="92"/>
      <c r="U434" s="92"/>
      <c r="V434" s="92"/>
      <c r="W434" s="92"/>
      <c r="X434" s="92"/>
      <c r="Y434" s="92"/>
      <c r="Z434" s="92"/>
    </row>
    <row r="435" spans="1:26" hidden="1">
      <c r="A435" s="92"/>
      <c r="B435" s="92"/>
      <c r="C435" s="92"/>
      <c r="D435" s="92"/>
      <c r="E435" s="92"/>
      <c r="F435" s="92"/>
      <c r="G435" s="92"/>
      <c r="H435" s="92"/>
      <c r="I435" s="92"/>
      <c r="J435" s="92"/>
      <c r="K435" s="92"/>
      <c r="L435" s="92"/>
      <c r="M435" s="92"/>
      <c r="N435" s="92"/>
      <c r="O435" s="92"/>
      <c r="P435" s="92"/>
      <c r="Q435" s="92"/>
      <c r="R435" s="92"/>
      <c r="S435" s="92"/>
      <c r="T435" s="92"/>
      <c r="U435" s="92"/>
      <c r="V435" s="92"/>
      <c r="W435" s="92"/>
      <c r="X435" s="92"/>
      <c r="Y435" s="92"/>
      <c r="Z435" s="92"/>
    </row>
    <row r="436" spans="1:26" hidden="1">
      <c r="A436" s="92"/>
      <c r="B436" s="92"/>
      <c r="C436" s="92"/>
      <c r="D436" s="92"/>
      <c r="E436" s="92"/>
      <c r="F436" s="92"/>
      <c r="G436" s="92"/>
      <c r="H436" s="92"/>
      <c r="I436" s="92"/>
      <c r="J436" s="92"/>
      <c r="K436" s="92"/>
      <c r="L436" s="92"/>
      <c r="M436" s="92"/>
      <c r="N436" s="92"/>
      <c r="O436" s="92"/>
      <c r="P436" s="92"/>
      <c r="Q436" s="92"/>
      <c r="R436" s="92"/>
      <c r="S436" s="92"/>
      <c r="T436" s="92"/>
      <c r="U436" s="92"/>
      <c r="V436" s="92"/>
      <c r="W436" s="92"/>
      <c r="X436" s="92"/>
      <c r="Y436" s="92"/>
      <c r="Z436" s="92"/>
    </row>
    <row r="437" spans="1:26" hidden="1">
      <c r="A437" s="92"/>
      <c r="B437" s="92"/>
      <c r="C437" s="92"/>
      <c r="D437" s="92"/>
      <c r="E437" s="92"/>
      <c r="F437" s="92"/>
      <c r="G437" s="92"/>
      <c r="H437" s="92"/>
      <c r="I437" s="92"/>
      <c r="J437" s="92"/>
      <c r="K437" s="92"/>
      <c r="L437" s="92"/>
      <c r="M437" s="92"/>
      <c r="N437" s="92"/>
      <c r="O437" s="92"/>
      <c r="P437" s="92"/>
      <c r="Q437" s="92"/>
      <c r="R437" s="92"/>
      <c r="S437" s="92"/>
      <c r="T437" s="92"/>
      <c r="U437" s="92"/>
      <c r="V437" s="92"/>
      <c r="W437" s="92"/>
      <c r="X437" s="92"/>
      <c r="Y437" s="92"/>
      <c r="Z437" s="92"/>
    </row>
    <row r="438" spans="1:26" hidden="1">
      <c r="A438" s="92"/>
      <c r="B438" s="92"/>
      <c r="C438" s="92"/>
      <c r="D438" s="92"/>
      <c r="E438" s="92"/>
      <c r="F438" s="92"/>
      <c r="G438" s="92"/>
      <c r="H438" s="92"/>
      <c r="I438" s="92"/>
      <c r="J438" s="92"/>
      <c r="K438" s="92"/>
      <c r="L438" s="92"/>
      <c r="M438" s="92"/>
      <c r="N438" s="92"/>
      <c r="O438" s="92"/>
      <c r="P438" s="92"/>
      <c r="Q438" s="92"/>
      <c r="R438" s="92"/>
      <c r="S438" s="92"/>
      <c r="T438" s="92"/>
      <c r="U438" s="92"/>
      <c r="V438" s="92"/>
      <c r="W438" s="92"/>
      <c r="X438" s="92"/>
      <c r="Y438" s="92"/>
      <c r="Z438" s="92"/>
    </row>
    <row r="439" spans="1:26" hidden="1">
      <c r="A439" s="92"/>
      <c r="B439" s="92"/>
      <c r="C439" s="92"/>
      <c r="D439" s="92"/>
      <c r="E439" s="92"/>
      <c r="F439" s="92"/>
      <c r="G439" s="92"/>
      <c r="H439" s="92"/>
      <c r="I439" s="92"/>
      <c r="J439" s="92"/>
      <c r="K439" s="92"/>
      <c r="L439" s="92"/>
      <c r="M439" s="92"/>
      <c r="N439" s="92"/>
      <c r="O439" s="92"/>
      <c r="P439" s="92"/>
      <c r="Q439" s="92"/>
      <c r="R439" s="92"/>
      <c r="S439" s="92"/>
      <c r="T439" s="92"/>
      <c r="U439" s="92"/>
      <c r="V439" s="92"/>
      <c r="W439" s="92"/>
      <c r="X439" s="92"/>
      <c r="Y439" s="92"/>
      <c r="Z439" s="92"/>
    </row>
    <row r="440" spans="1:26" hidden="1">
      <c r="A440" s="92"/>
      <c r="B440" s="92"/>
      <c r="C440" s="92"/>
      <c r="D440" s="92"/>
      <c r="E440" s="92"/>
      <c r="F440" s="92"/>
      <c r="G440" s="92"/>
      <c r="H440" s="92"/>
      <c r="I440" s="92"/>
      <c r="J440" s="92"/>
      <c r="K440" s="92"/>
      <c r="L440" s="92"/>
      <c r="M440" s="92"/>
      <c r="N440" s="92"/>
      <c r="O440" s="92"/>
      <c r="P440" s="92"/>
      <c r="Q440" s="92"/>
      <c r="R440" s="92"/>
      <c r="S440" s="92"/>
      <c r="T440" s="92"/>
      <c r="U440" s="92"/>
      <c r="V440" s="92"/>
      <c r="W440" s="92"/>
      <c r="X440" s="92"/>
      <c r="Y440" s="92"/>
      <c r="Z440" s="92"/>
    </row>
    <row r="441" spans="1:26" hidden="1">
      <c r="A441" s="92"/>
      <c r="B441" s="92"/>
      <c r="C441" s="92"/>
      <c r="D441" s="92"/>
      <c r="E441" s="92"/>
      <c r="F441" s="92"/>
      <c r="G441" s="92"/>
      <c r="H441" s="92"/>
      <c r="I441" s="92"/>
      <c r="J441" s="92"/>
      <c r="K441" s="92"/>
      <c r="L441" s="92"/>
      <c r="M441" s="92"/>
      <c r="N441" s="92"/>
      <c r="O441" s="92"/>
      <c r="P441" s="92"/>
      <c r="Q441" s="92"/>
      <c r="R441" s="92"/>
      <c r="S441" s="92"/>
      <c r="T441" s="92"/>
      <c r="U441" s="92"/>
      <c r="V441" s="92"/>
      <c r="W441" s="92"/>
      <c r="X441" s="92"/>
      <c r="Y441" s="92"/>
      <c r="Z441" s="92"/>
    </row>
    <row r="442" spans="1:26" hidden="1">
      <c r="A442" s="92"/>
      <c r="B442" s="92"/>
      <c r="C442" s="92"/>
      <c r="D442" s="92"/>
      <c r="E442" s="92"/>
      <c r="F442" s="92"/>
      <c r="G442" s="92"/>
      <c r="H442" s="92"/>
      <c r="I442" s="92"/>
      <c r="J442" s="92"/>
      <c r="K442" s="92"/>
      <c r="L442" s="92"/>
      <c r="M442" s="92"/>
      <c r="N442" s="92"/>
      <c r="O442" s="92"/>
      <c r="P442" s="92"/>
      <c r="Q442" s="92"/>
      <c r="R442" s="92"/>
      <c r="S442" s="92"/>
      <c r="T442" s="92"/>
      <c r="U442" s="92"/>
      <c r="V442" s="92"/>
      <c r="W442" s="92"/>
      <c r="X442" s="92"/>
      <c r="Y442" s="92"/>
      <c r="Z442" s="92"/>
    </row>
    <row r="443" spans="1:26" hidden="1">
      <c r="A443" s="92"/>
      <c r="B443" s="92"/>
      <c r="C443" s="92"/>
      <c r="D443" s="92"/>
      <c r="E443" s="92"/>
      <c r="F443" s="92"/>
      <c r="G443" s="92"/>
      <c r="H443" s="92"/>
      <c r="I443" s="92"/>
      <c r="J443" s="92"/>
      <c r="K443" s="92"/>
      <c r="L443" s="92"/>
      <c r="M443" s="92"/>
      <c r="N443" s="92"/>
      <c r="O443" s="92"/>
      <c r="P443" s="92"/>
      <c r="Q443" s="92"/>
      <c r="R443" s="92"/>
      <c r="S443" s="92"/>
      <c r="T443" s="92"/>
      <c r="U443" s="92"/>
      <c r="V443" s="92"/>
      <c r="W443" s="92"/>
      <c r="X443" s="92"/>
      <c r="Y443" s="92"/>
      <c r="Z443" s="92"/>
    </row>
    <row r="444" spans="1:26" hidden="1">
      <c r="A444" s="92"/>
      <c r="B444" s="92"/>
      <c r="C444" s="92"/>
      <c r="D444" s="92"/>
      <c r="E444" s="92"/>
      <c r="F444" s="92"/>
      <c r="G444" s="92"/>
      <c r="H444" s="92"/>
      <c r="I444" s="92"/>
      <c r="J444" s="92"/>
      <c r="K444" s="92"/>
      <c r="L444" s="92"/>
      <c r="M444" s="92"/>
      <c r="N444" s="92"/>
      <c r="O444" s="92"/>
      <c r="P444" s="92"/>
      <c r="Q444" s="92"/>
      <c r="R444" s="92"/>
      <c r="S444" s="92"/>
      <c r="T444" s="92"/>
      <c r="U444" s="92"/>
      <c r="V444" s="92"/>
      <c r="W444" s="92"/>
      <c r="X444" s="92"/>
      <c r="Y444" s="92"/>
      <c r="Z444" s="92"/>
    </row>
    <row r="445" spans="1:26" hidden="1">
      <c r="A445" s="92"/>
      <c r="B445" s="92"/>
      <c r="C445" s="92"/>
      <c r="D445" s="92"/>
      <c r="E445" s="92"/>
      <c r="F445" s="92"/>
      <c r="G445" s="92"/>
      <c r="H445" s="92"/>
      <c r="I445" s="92"/>
      <c r="J445" s="92"/>
      <c r="K445" s="92"/>
      <c r="L445" s="92"/>
      <c r="M445" s="92"/>
      <c r="N445" s="92"/>
      <c r="O445" s="92"/>
      <c r="P445" s="92"/>
      <c r="Q445" s="92"/>
      <c r="R445" s="92"/>
      <c r="S445" s="92"/>
      <c r="T445" s="92"/>
      <c r="U445" s="92"/>
      <c r="V445" s="92"/>
      <c r="W445" s="92"/>
      <c r="X445" s="92"/>
      <c r="Y445" s="92"/>
      <c r="Z445" s="92"/>
    </row>
    <row r="446" spans="1:26" hidden="1">
      <c r="A446" s="92"/>
      <c r="B446" s="92"/>
      <c r="C446" s="92"/>
      <c r="D446" s="92"/>
      <c r="E446" s="92"/>
      <c r="F446" s="92"/>
      <c r="G446" s="92"/>
      <c r="H446" s="92"/>
      <c r="I446" s="92"/>
      <c r="J446" s="92"/>
      <c r="K446" s="92"/>
      <c r="L446" s="92"/>
      <c r="M446" s="92"/>
      <c r="N446" s="92"/>
      <c r="O446" s="92"/>
      <c r="P446" s="92"/>
      <c r="Q446" s="92"/>
      <c r="R446" s="92"/>
      <c r="S446" s="92"/>
      <c r="T446" s="92"/>
      <c r="U446" s="92"/>
      <c r="V446" s="92"/>
      <c r="W446" s="92"/>
      <c r="X446" s="92"/>
      <c r="Y446" s="92"/>
      <c r="Z446" s="92"/>
    </row>
    <row r="447" spans="1:26" hidden="1">
      <c r="A447" s="92"/>
      <c r="B447" s="92"/>
      <c r="C447" s="92"/>
      <c r="D447" s="92"/>
      <c r="E447" s="92"/>
      <c r="F447" s="92"/>
      <c r="G447" s="92"/>
      <c r="H447" s="92"/>
      <c r="I447" s="92"/>
      <c r="J447" s="92"/>
      <c r="K447" s="92"/>
      <c r="L447" s="92"/>
      <c r="M447" s="92"/>
      <c r="N447" s="92"/>
      <c r="O447" s="92"/>
      <c r="P447" s="92"/>
      <c r="Q447" s="92"/>
      <c r="R447" s="92"/>
      <c r="S447" s="92"/>
      <c r="T447" s="92"/>
      <c r="U447" s="92"/>
      <c r="V447" s="92"/>
      <c r="W447" s="92"/>
      <c r="X447" s="92"/>
      <c r="Y447" s="92"/>
      <c r="Z447" s="92"/>
    </row>
    <row r="448" spans="1:26" hidden="1">
      <c r="A448" s="92"/>
      <c r="B448" s="92"/>
      <c r="C448" s="92"/>
      <c r="D448" s="92"/>
      <c r="E448" s="92"/>
      <c r="F448" s="92"/>
      <c r="G448" s="92"/>
      <c r="H448" s="92"/>
      <c r="I448" s="92"/>
      <c r="J448" s="92"/>
      <c r="K448" s="92"/>
      <c r="L448" s="92"/>
      <c r="M448" s="92"/>
      <c r="N448" s="92"/>
      <c r="O448" s="92"/>
      <c r="P448" s="92"/>
      <c r="Q448" s="92"/>
      <c r="R448" s="92"/>
      <c r="S448" s="92"/>
      <c r="T448" s="92"/>
      <c r="U448" s="92"/>
      <c r="V448" s="92"/>
      <c r="W448" s="92"/>
      <c r="X448" s="92"/>
      <c r="Y448" s="92"/>
      <c r="Z448" s="92"/>
    </row>
    <row r="449" spans="1:26" hidden="1">
      <c r="A449" s="92"/>
      <c r="B449" s="92"/>
      <c r="C449" s="92"/>
      <c r="D449" s="92"/>
      <c r="E449" s="92"/>
      <c r="F449" s="92"/>
      <c r="G449" s="92"/>
      <c r="H449" s="92"/>
      <c r="I449" s="92"/>
      <c r="J449" s="92"/>
      <c r="K449" s="92"/>
      <c r="L449" s="92"/>
      <c r="M449" s="92"/>
      <c r="N449" s="92"/>
      <c r="O449" s="92"/>
      <c r="P449" s="92"/>
      <c r="Q449" s="92"/>
      <c r="R449" s="92"/>
      <c r="S449" s="92"/>
      <c r="T449" s="92"/>
      <c r="U449" s="92"/>
      <c r="V449" s="92"/>
      <c r="W449" s="92"/>
      <c r="X449" s="92"/>
      <c r="Y449" s="92"/>
      <c r="Z449" s="92"/>
    </row>
    <row r="450" spans="1:26" hidden="1">
      <c r="A450" s="92"/>
      <c r="B450" s="92"/>
      <c r="C450" s="92"/>
      <c r="D450" s="92"/>
      <c r="E450" s="92"/>
      <c r="F450" s="92"/>
      <c r="G450" s="92"/>
      <c r="H450" s="92"/>
      <c r="I450" s="92"/>
      <c r="J450" s="92"/>
      <c r="K450" s="92"/>
      <c r="L450" s="92"/>
      <c r="M450" s="92"/>
      <c r="N450" s="92"/>
      <c r="O450" s="92"/>
      <c r="P450" s="92"/>
      <c r="Q450" s="92"/>
      <c r="R450" s="92"/>
      <c r="S450" s="92"/>
      <c r="T450" s="92"/>
      <c r="U450" s="92"/>
      <c r="V450" s="92"/>
      <c r="W450" s="92"/>
      <c r="X450" s="92"/>
      <c r="Y450" s="92"/>
      <c r="Z450" s="92"/>
    </row>
    <row r="451" spans="1:26" hidden="1">
      <c r="A451" s="92"/>
      <c r="B451" s="92"/>
      <c r="C451" s="92"/>
      <c r="D451" s="92"/>
      <c r="E451" s="92"/>
      <c r="F451" s="92"/>
      <c r="G451" s="92"/>
      <c r="H451" s="92"/>
      <c r="I451" s="92"/>
      <c r="J451" s="92"/>
      <c r="K451" s="92"/>
      <c r="L451" s="92"/>
      <c r="M451" s="92"/>
      <c r="N451" s="92"/>
      <c r="O451" s="92"/>
      <c r="P451" s="92"/>
      <c r="Q451" s="92"/>
      <c r="R451" s="92"/>
      <c r="S451" s="92"/>
      <c r="T451" s="92"/>
      <c r="U451" s="92"/>
      <c r="V451" s="92"/>
      <c r="W451" s="92"/>
      <c r="X451" s="92"/>
      <c r="Y451" s="92"/>
      <c r="Z451" s="92"/>
    </row>
    <row r="452" spans="1:26" hidden="1">
      <c r="A452" s="92"/>
      <c r="B452" s="92"/>
      <c r="C452" s="92"/>
      <c r="D452" s="92"/>
      <c r="E452" s="92"/>
      <c r="F452" s="92"/>
      <c r="G452" s="92"/>
      <c r="H452" s="92"/>
      <c r="I452" s="92"/>
      <c r="J452" s="92"/>
      <c r="K452" s="92"/>
      <c r="L452" s="92"/>
      <c r="M452" s="92"/>
      <c r="N452" s="92"/>
      <c r="O452" s="92"/>
      <c r="P452" s="92"/>
      <c r="Q452" s="92"/>
      <c r="R452" s="92"/>
      <c r="S452" s="92"/>
      <c r="T452" s="92"/>
      <c r="U452" s="92"/>
      <c r="V452" s="92"/>
      <c r="W452" s="92"/>
      <c r="X452" s="92"/>
      <c r="Y452" s="92"/>
      <c r="Z452" s="92"/>
    </row>
    <row r="453" spans="1:26" hidden="1">
      <c r="A453" s="92"/>
      <c r="B453" s="92"/>
      <c r="C453" s="92"/>
      <c r="D453" s="92"/>
      <c r="E453" s="92"/>
      <c r="F453" s="92"/>
      <c r="G453" s="92"/>
      <c r="H453" s="92"/>
      <c r="I453" s="92"/>
      <c r="J453" s="92"/>
      <c r="K453" s="92"/>
      <c r="L453" s="92"/>
      <c r="M453" s="92"/>
      <c r="N453" s="92"/>
      <c r="O453" s="92"/>
      <c r="P453" s="92"/>
      <c r="Q453" s="92"/>
      <c r="R453" s="92"/>
      <c r="S453" s="92"/>
      <c r="T453" s="92"/>
      <c r="U453" s="92"/>
      <c r="V453" s="92"/>
      <c r="W453" s="92"/>
      <c r="X453" s="92"/>
      <c r="Y453" s="92"/>
      <c r="Z453" s="92"/>
    </row>
    <row r="454" spans="1:26" hidden="1">
      <c r="A454" s="92"/>
      <c r="B454" s="92"/>
      <c r="C454" s="92"/>
      <c r="D454" s="92"/>
      <c r="E454" s="92"/>
      <c r="F454" s="92"/>
      <c r="G454" s="92"/>
      <c r="H454" s="92"/>
      <c r="I454" s="92"/>
      <c r="J454" s="92"/>
      <c r="K454" s="92"/>
      <c r="L454" s="92"/>
      <c r="M454" s="92"/>
      <c r="N454" s="92"/>
      <c r="O454" s="92"/>
      <c r="P454" s="92"/>
      <c r="Q454" s="92"/>
      <c r="R454" s="92"/>
      <c r="S454" s="92"/>
      <c r="T454" s="92"/>
      <c r="U454" s="92"/>
      <c r="V454" s="92"/>
      <c r="W454" s="92"/>
      <c r="X454" s="92"/>
      <c r="Y454" s="92"/>
      <c r="Z454" s="92"/>
    </row>
    <row r="455" spans="1:26" hidden="1">
      <c r="A455" s="92"/>
      <c r="B455" s="92"/>
      <c r="C455" s="92"/>
      <c r="D455" s="92"/>
      <c r="E455" s="92"/>
      <c r="F455" s="92"/>
      <c r="G455" s="92"/>
      <c r="H455" s="92"/>
      <c r="I455" s="92"/>
      <c r="J455" s="92"/>
      <c r="K455" s="92"/>
      <c r="L455" s="92"/>
      <c r="M455" s="92"/>
      <c r="N455" s="92"/>
      <c r="O455" s="92"/>
      <c r="P455" s="92"/>
      <c r="Q455" s="92"/>
      <c r="R455" s="92"/>
      <c r="S455" s="92"/>
      <c r="T455" s="92"/>
      <c r="U455" s="92"/>
      <c r="V455" s="92"/>
      <c r="W455" s="92"/>
      <c r="X455" s="92"/>
      <c r="Y455" s="92"/>
      <c r="Z455" s="92"/>
    </row>
    <row r="456" spans="1:26" hidden="1">
      <c r="A456" s="92"/>
      <c r="B456" s="92"/>
      <c r="C456" s="92"/>
      <c r="D456" s="92"/>
      <c r="E456" s="92"/>
      <c r="F456" s="92"/>
      <c r="G456" s="92"/>
      <c r="H456" s="92"/>
      <c r="I456" s="92"/>
      <c r="J456" s="92"/>
      <c r="K456" s="92"/>
      <c r="L456" s="92"/>
      <c r="M456" s="92"/>
      <c r="N456" s="92"/>
      <c r="O456" s="92"/>
      <c r="P456" s="92"/>
      <c r="Q456" s="92"/>
      <c r="R456" s="92"/>
      <c r="S456" s="92"/>
      <c r="T456" s="92"/>
      <c r="U456" s="92"/>
      <c r="V456" s="92"/>
      <c r="W456" s="92"/>
      <c r="X456" s="92"/>
      <c r="Y456" s="92"/>
      <c r="Z456" s="92"/>
    </row>
    <row r="457" spans="1:26" hidden="1">
      <c r="A457" s="92"/>
      <c r="B457" s="92"/>
      <c r="C457" s="92"/>
      <c r="D457" s="92"/>
      <c r="E457" s="92"/>
      <c r="F457" s="92"/>
      <c r="G457" s="92"/>
      <c r="H457" s="92"/>
      <c r="I457" s="92"/>
      <c r="J457" s="92"/>
      <c r="K457" s="92"/>
      <c r="L457" s="92"/>
      <c r="M457" s="92"/>
      <c r="N457" s="92"/>
      <c r="O457" s="92"/>
      <c r="P457" s="92"/>
      <c r="Q457" s="92"/>
      <c r="R457" s="92"/>
      <c r="S457" s="92"/>
      <c r="T457" s="92"/>
      <c r="U457" s="92"/>
      <c r="V457" s="92"/>
      <c r="W457" s="92"/>
      <c r="X457" s="92"/>
      <c r="Y457" s="92"/>
      <c r="Z457" s="92"/>
    </row>
    <row r="458" spans="1:26" hidden="1">
      <c r="A458" s="92"/>
      <c r="B458" s="92"/>
      <c r="C458" s="92"/>
      <c r="D458" s="92"/>
      <c r="E458" s="92"/>
      <c r="F458" s="92"/>
      <c r="G458" s="92"/>
      <c r="H458" s="92"/>
      <c r="I458" s="92"/>
      <c r="J458" s="92"/>
      <c r="K458" s="92"/>
      <c r="L458" s="92"/>
      <c r="M458" s="92"/>
      <c r="N458" s="92"/>
      <c r="O458" s="92"/>
      <c r="P458" s="92"/>
      <c r="Q458" s="92"/>
      <c r="R458" s="92"/>
      <c r="S458" s="92"/>
      <c r="T458" s="92"/>
      <c r="U458" s="92"/>
      <c r="V458" s="92"/>
      <c r="W458" s="92"/>
      <c r="X458" s="92"/>
      <c r="Y458" s="92"/>
      <c r="Z458" s="92"/>
    </row>
    <row r="459" spans="1:26" hidden="1">
      <c r="A459" s="92"/>
      <c r="B459" s="92"/>
      <c r="C459" s="92"/>
      <c r="D459" s="92"/>
      <c r="E459" s="92"/>
      <c r="F459" s="92"/>
      <c r="G459" s="92"/>
      <c r="H459" s="92"/>
      <c r="I459" s="92"/>
      <c r="J459" s="92"/>
      <c r="K459" s="92"/>
      <c r="L459" s="92"/>
      <c r="M459" s="92"/>
      <c r="N459" s="92"/>
      <c r="O459" s="92"/>
      <c r="P459" s="92"/>
      <c r="Q459" s="92"/>
      <c r="R459" s="92"/>
      <c r="S459" s="92"/>
      <c r="T459" s="92"/>
      <c r="U459" s="92"/>
      <c r="V459" s="92"/>
      <c r="W459" s="92"/>
      <c r="X459" s="92"/>
      <c r="Y459" s="92"/>
      <c r="Z459" s="92"/>
    </row>
    <row r="460" spans="1:26" hidden="1">
      <c r="A460" s="92"/>
      <c r="B460" s="92"/>
      <c r="C460" s="92"/>
      <c r="D460" s="92"/>
      <c r="E460" s="92"/>
      <c r="F460" s="92"/>
      <c r="G460" s="92"/>
      <c r="H460" s="92"/>
      <c r="I460" s="92"/>
      <c r="J460" s="92"/>
      <c r="K460" s="92"/>
      <c r="L460" s="92"/>
      <c r="M460" s="92"/>
      <c r="N460" s="92"/>
      <c r="O460" s="92"/>
      <c r="P460" s="92"/>
      <c r="Q460" s="92"/>
      <c r="R460" s="92"/>
      <c r="S460" s="92"/>
      <c r="T460" s="92"/>
      <c r="U460" s="92"/>
      <c r="V460" s="92"/>
      <c r="W460" s="92"/>
      <c r="X460" s="92"/>
      <c r="Y460" s="92"/>
      <c r="Z460" s="92"/>
    </row>
    <row r="461" spans="1:26" hidden="1">
      <c r="A461" s="92"/>
      <c r="B461" s="92"/>
      <c r="C461" s="92"/>
      <c r="D461" s="92"/>
      <c r="E461" s="92"/>
      <c r="F461" s="92"/>
      <c r="G461" s="92"/>
      <c r="H461" s="92"/>
      <c r="I461" s="92"/>
      <c r="J461" s="92"/>
      <c r="K461" s="92"/>
      <c r="L461" s="92"/>
      <c r="M461" s="92"/>
      <c r="N461" s="92"/>
      <c r="O461" s="92"/>
      <c r="P461" s="92"/>
      <c r="Q461" s="92"/>
      <c r="R461" s="92"/>
      <c r="S461" s="92"/>
      <c r="T461" s="92"/>
      <c r="U461" s="92"/>
      <c r="V461" s="92"/>
      <c r="W461" s="92"/>
      <c r="X461" s="92"/>
      <c r="Y461" s="92"/>
      <c r="Z461" s="92"/>
    </row>
    <row r="462" spans="1:26" hidden="1">
      <c r="A462" s="92"/>
      <c r="B462" s="92"/>
      <c r="C462" s="92"/>
      <c r="D462" s="92"/>
      <c r="E462" s="92"/>
      <c r="F462" s="92"/>
      <c r="G462" s="92"/>
      <c r="H462" s="92"/>
      <c r="I462" s="92"/>
      <c r="J462" s="92"/>
      <c r="K462" s="92"/>
      <c r="L462" s="92"/>
      <c r="M462" s="92"/>
      <c r="N462" s="92"/>
      <c r="O462" s="92"/>
      <c r="P462" s="92"/>
      <c r="Q462" s="92"/>
      <c r="R462" s="92"/>
      <c r="S462" s="92"/>
      <c r="T462" s="92"/>
      <c r="U462" s="92"/>
      <c r="V462" s="92"/>
      <c r="W462" s="92"/>
      <c r="X462" s="92"/>
      <c r="Y462" s="92"/>
      <c r="Z462" s="92"/>
    </row>
    <row r="463" spans="1:26" hidden="1">
      <c r="A463" s="92"/>
      <c r="B463" s="92"/>
      <c r="C463" s="92"/>
      <c r="D463" s="92"/>
      <c r="E463" s="92"/>
      <c r="F463" s="92"/>
      <c r="G463" s="92"/>
      <c r="H463" s="92"/>
      <c r="I463" s="92"/>
      <c r="J463" s="92"/>
      <c r="K463" s="92"/>
      <c r="L463" s="92"/>
      <c r="M463" s="92"/>
      <c r="N463" s="92"/>
      <c r="O463" s="92"/>
      <c r="P463" s="92"/>
      <c r="Q463" s="92"/>
      <c r="R463" s="92"/>
      <c r="S463" s="92"/>
      <c r="T463" s="92"/>
      <c r="U463" s="92"/>
      <c r="V463" s="92"/>
      <c r="W463" s="92"/>
      <c r="X463" s="92"/>
      <c r="Y463" s="92"/>
      <c r="Z463" s="92"/>
    </row>
    <row r="464" spans="1:26" hidden="1">
      <c r="A464" s="92"/>
      <c r="B464" s="92"/>
      <c r="C464" s="92"/>
      <c r="D464" s="92"/>
      <c r="E464" s="92"/>
      <c r="F464" s="92"/>
      <c r="G464" s="92"/>
      <c r="H464" s="92"/>
      <c r="I464" s="92"/>
      <c r="J464" s="92"/>
      <c r="K464" s="92"/>
      <c r="L464" s="92"/>
      <c r="M464" s="92"/>
      <c r="N464" s="92"/>
      <c r="O464" s="92"/>
      <c r="P464" s="92"/>
      <c r="Q464" s="92"/>
      <c r="R464" s="92"/>
      <c r="S464" s="92"/>
      <c r="T464" s="92"/>
      <c r="U464" s="92"/>
      <c r="V464" s="92"/>
      <c r="W464" s="92"/>
      <c r="X464" s="92"/>
      <c r="Y464" s="92"/>
      <c r="Z464" s="92"/>
    </row>
    <row r="465" spans="1:26" hidden="1">
      <c r="A465" s="92"/>
      <c r="B465" s="92"/>
      <c r="C465" s="92"/>
      <c r="D465" s="92"/>
      <c r="E465" s="92"/>
      <c r="F465" s="92"/>
      <c r="G465" s="92"/>
      <c r="H465" s="92"/>
      <c r="I465" s="92"/>
      <c r="J465" s="92"/>
      <c r="K465" s="92"/>
      <c r="L465" s="92"/>
      <c r="M465" s="92"/>
      <c r="N465" s="92"/>
      <c r="O465" s="92"/>
      <c r="P465" s="92"/>
      <c r="Q465" s="92"/>
      <c r="R465" s="92"/>
      <c r="S465" s="92"/>
      <c r="T465" s="92"/>
      <c r="U465" s="92"/>
      <c r="V465" s="92"/>
      <c r="W465" s="92"/>
      <c r="X465" s="92"/>
      <c r="Y465" s="92"/>
      <c r="Z465" s="92"/>
    </row>
    <row r="466" spans="1:26" hidden="1">
      <c r="A466" s="92"/>
      <c r="B466" s="92"/>
      <c r="C466" s="92"/>
      <c r="D466" s="92"/>
      <c r="E466" s="92"/>
      <c r="F466" s="92"/>
      <c r="G466" s="92"/>
      <c r="H466" s="92"/>
      <c r="I466" s="92"/>
      <c r="J466" s="92"/>
      <c r="K466" s="92"/>
      <c r="L466" s="92"/>
      <c r="M466" s="92"/>
      <c r="N466" s="92"/>
      <c r="O466" s="92"/>
      <c r="P466" s="92"/>
      <c r="Q466" s="92"/>
      <c r="R466" s="92"/>
      <c r="S466" s="92"/>
      <c r="T466" s="92"/>
      <c r="U466" s="92"/>
      <c r="V466" s="92"/>
      <c r="W466" s="92"/>
      <c r="X466" s="92"/>
      <c r="Y466" s="92"/>
      <c r="Z466" s="92"/>
    </row>
    <row r="467" spans="1:26" hidden="1">
      <c r="A467" s="92"/>
      <c r="B467" s="92"/>
      <c r="C467" s="92"/>
      <c r="D467" s="92"/>
      <c r="E467" s="92"/>
      <c r="F467" s="92"/>
      <c r="G467" s="92"/>
      <c r="H467" s="92"/>
      <c r="I467" s="92"/>
      <c r="J467" s="92"/>
      <c r="K467" s="92"/>
      <c r="L467" s="92"/>
      <c r="M467" s="92"/>
      <c r="N467" s="92"/>
      <c r="O467" s="92"/>
      <c r="P467" s="92"/>
      <c r="Q467" s="92"/>
      <c r="R467" s="92"/>
      <c r="S467" s="92"/>
      <c r="T467" s="92"/>
      <c r="U467" s="92"/>
      <c r="V467" s="92"/>
      <c r="W467" s="92"/>
      <c r="X467" s="92"/>
      <c r="Y467" s="92"/>
      <c r="Z467" s="92"/>
    </row>
    <row r="468" spans="1:26" hidden="1">
      <c r="A468" s="92"/>
      <c r="B468" s="92"/>
      <c r="C468" s="92"/>
      <c r="D468" s="92"/>
      <c r="E468" s="92"/>
      <c r="F468" s="92"/>
      <c r="G468" s="92"/>
      <c r="H468" s="92"/>
      <c r="I468" s="92"/>
      <c r="J468" s="92"/>
      <c r="K468" s="92"/>
      <c r="L468" s="92"/>
      <c r="M468" s="92"/>
      <c r="N468" s="92"/>
      <c r="O468" s="92"/>
      <c r="P468" s="92"/>
      <c r="Q468" s="92"/>
      <c r="R468" s="92"/>
      <c r="S468" s="92"/>
      <c r="T468" s="92"/>
      <c r="U468" s="92"/>
      <c r="V468" s="92"/>
      <c r="W468" s="92"/>
      <c r="X468" s="92"/>
      <c r="Y468" s="92"/>
      <c r="Z468" s="92"/>
    </row>
    <row r="469" spans="1:26" hidden="1">
      <c r="A469" s="92"/>
      <c r="B469" s="92"/>
      <c r="C469" s="92"/>
      <c r="D469" s="92"/>
      <c r="E469" s="92"/>
      <c r="F469" s="92"/>
      <c r="G469" s="92"/>
      <c r="H469" s="92"/>
      <c r="I469" s="92"/>
      <c r="J469" s="92"/>
      <c r="K469" s="92"/>
      <c r="L469" s="92"/>
      <c r="M469" s="92"/>
      <c r="N469" s="92"/>
      <c r="O469" s="92"/>
      <c r="P469" s="92"/>
      <c r="Q469" s="92"/>
      <c r="R469" s="92"/>
      <c r="S469" s="92"/>
      <c r="T469" s="92"/>
      <c r="U469" s="92"/>
      <c r="V469" s="92"/>
      <c r="W469" s="92"/>
      <c r="X469" s="92"/>
      <c r="Y469" s="92"/>
      <c r="Z469" s="92"/>
    </row>
    <row r="470" spans="1:26" hidden="1">
      <c r="A470" s="92"/>
      <c r="B470" s="92"/>
      <c r="C470" s="92"/>
      <c r="D470" s="92"/>
      <c r="E470" s="92"/>
      <c r="F470" s="92"/>
      <c r="G470" s="92"/>
      <c r="H470" s="92"/>
      <c r="I470" s="92"/>
      <c r="J470" s="92"/>
      <c r="K470" s="92"/>
      <c r="L470" s="92"/>
      <c r="M470" s="92"/>
      <c r="N470" s="92"/>
      <c r="O470" s="92"/>
      <c r="P470" s="92"/>
      <c r="Q470" s="92"/>
      <c r="R470" s="92"/>
      <c r="S470" s="92"/>
      <c r="T470" s="92"/>
      <c r="U470" s="92"/>
      <c r="V470" s="92"/>
      <c r="W470" s="92"/>
      <c r="X470" s="92"/>
      <c r="Y470" s="92"/>
      <c r="Z470" s="92"/>
    </row>
    <row r="471" spans="1:26" hidden="1">
      <c r="A471" s="92"/>
      <c r="B471" s="92"/>
      <c r="C471" s="92"/>
      <c r="D471" s="92"/>
      <c r="E471" s="92"/>
      <c r="F471" s="92"/>
      <c r="G471" s="92"/>
      <c r="H471" s="92"/>
      <c r="I471" s="92"/>
      <c r="J471" s="92"/>
      <c r="K471" s="92"/>
      <c r="L471" s="92"/>
      <c r="M471" s="92"/>
      <c r="N471" s="92"/>
      <c r="O471" s="92"/>
      <c r="P471" s="92"/>
      <c r="Q471" s="92"/>
      <c r="R471" s="92"/>
      <c r="S471" s="92"/>
      <c r="T471" s="92"/>
      <c r="U471" s="92"/>
      <c r="V471" s="92"/>
      <c r="W471" s="92"/>
      <c r="X471" s="92"/>
      <c r="Y471" s="92"/>
      <c r="Z471" s="92"/>
    </row>
    <row r="472" spans="1:26" hidden="1">
      <c r="A472" s="92"/>
      <c r="B472" s="92"/>
      <c r="C472" s="92"/>
      <c r="D472" s="92"/>
      <c r="E472" s="92"/>
      <c r="F472" s="92"/>
      <c r="G472" s="92"/>
      <c r="H472" s="92"/>
      <c r="I472" s="92"/>
      <c r="J472" s="92"/>
      <c r="K472" s="92"/>
      <c r="L472" s="92"/>
      <c r="M472" s="92"/>
      <c r="N472" s="92"/>
      <c r="O472" s="92"/>
      <c r="P472" s="92"/>
      <c r="Q472" s="92"/>
      <c r="R472" s="92"/>
      <c r="S472" s="92"/>
      <c r="T472" s="92"/>
      <c r="U472" s="92"/>
      <c r="V472" s="92"/>
      <c r="W472" s="92"/>
      <c r="X472" s="92"/>
      <c r="Y472" s="92"/>
      <c r="Z472" s="92"/>
    </row>
    <row r="473" spans="1:26" hidden="1">
      <c r="A473" s="92"/>
      <c r="B473" s="92"/>
      <c r="C473" s="92"/>
      <c r="D473" s="92"/>
      <c r="E473" s="92"/>
      <c r="F473" s="92"/>
      <c r="G473" s="92"/>
      <c r="H473" s="92"/>
      <c r="I473" s="92"/>
      <c r="J473" s="92"/>
      <c r="K473" s="92"/>
      <c r="L473" s="92"/>
      <c r="M473" s="92"/>
      <c r="N473" s="92"/>
      <c r="O473" s="92"/>
      <c r="P473" s="92"/>
      <c r="Q473" s="92"/>
      <c r="R473" s="92"/>
      <c r="S473" s="92"/>
      <c r="T473" s="92"/>
      <c r="U473" s="92"/>
      <c r="V473" s="92"/>
      <c r="W473" s="92"/>
      <c r="X473" s="92"/>
      <c r="Y473" s="92"/>
      <c r="Z473" s="92"/>
    </row>
    <row r="474" spans="1:26" hidden="1">
      <c r="A474" s="92"/>
      <c r="B474" s="92"/>
      <c r="C474" s="92"/>
      <c r="D474" s="92"/>
      <c r="E474" s="92"/>
      <c r="F474" s="92"/>
      <c r="G474" s="92"/>
      <c r="H474" s="92"/>
      <c r="I474" s="92"/>
      <c r="J474" s="92"/>
      <c r="K474" s="92"/>
      <c r="L474" s="92"/>
      <c r="M474" s="92"/>
      <c r="N474" s="92"/>
      <c r="O474" s="92"/>
      <c r="P474" s="92"/>
      <c r="Q474" s="92"/>
      <c r="R474" s="92"/>
      <c r="S474" s="92"/>
      <c r="T474" s="92"/>
      <c r="U474" s="92"/>
      <c r="V474" s="92"/>
      <c r="W474" s="92"/>
      <c r="X474" s="92"/>
      <c r="Y474" s="92"/>
      <c r="Z474" s="92"/>
    </row>
    <row r="475" spans="1:26" hidden="1">
      <c r="A475" s="92"/>
      <c r="B475" s="92"/>
      <c r="C475" s="92"/>
      <c r="D475" s="92"/>
      <c r="E475" s="92"/>
      <c r="F475" s="92"/>
      <c r="G475" s="92"/>
      <c r="H475" s="92"/>
      <c r="I475" s="92"/>
      <c r="J475" s="92"/>
      <c r="K475" s="92"/>
      <c r="L475" s="92"/>
      <c r="M475" s="92"/>
      <c r="N475" s="92"/>
      <c r="O475" s="92"/>
      <c r="P475" s="92"/>
      <c r="Q475" s="92"/>
      <c r="R475" s="92"/>
      <c r="S475" s="92"/>
      <c r="T475" s="92"/>
      <c r="U475" s="92"/>
      <c r="V475" s="92"/>
      <c r="W475" s="92"/>
      <c r="X475" s="92"/>
      <c r="Y475" s="92"/>
      <c r="Z475" s="92"/>
    </row>
    <row r="476" spans="1:26" hidden="1">
      <c r="A476" s="92"/>
      <c r="B476" s="92"/>
      <c r="C476" s="92"/>
      <c r="D476" s="92"/>
      <c r="E476" s="92"/>
      <c r="F476" s="92"/>
      <c r="G476" s="92"/>
      <c r="H476" s="92"/>
      <c r="I476" s="92"/>
      <c r="J476" s="92"/>
      <c r="K476" s="92"/>
      <c r="L476" s="92"/>
      <c r="M476" s="92"/>
      <c r="N476" s="92"/>
      <c r="O476" s="92"/>
      <c r="P476" s="92"/>
      <c r="Q476" s="92"/>
      <c r="R476" s="92"/>
      <c r="S476" s="92"/>
      <c r="T476" s="92"/>
      <c r="U476" s="92"/>
      <c r="V476" s="92"/>
      <c r="W476" s="92"/>
      <c r="X476" s="92"/>
      <c r="Y476" s="92"/>
      <c r="Z476" s="92"/>
    </row>
    <row r="477" spans="1:26" hidden="1">
      <c r="A477" s="92"/>
      <c r="B477" s="92"/>
      <c r="C477" s="92"/>
      <c r="D477" s="92"/>
      <c r="E477" s="92"/>
      <c r="F477" s="92"/>
      <c r="G477" s="92"/>
      <c r="H477" s="92"/>
      <c r="I477" s="92"/>
      <c r="J477" s="92"/>
      <c r="K477" s="92"/>
      <c r="L477" s="92"/>
      <c r="M477" s="92"/>
      <c r="N477" s="92"/>
      <c r="O477" s="92"/>
      <c r="P477" s="92"/>
      <c r="Q477" s="92"/>
      <c r="R477" s="92"/>
      <c r="S477" s="92"/>
      <c r="T477" s="92"/>
      <c r="U477" s="92"/>
      <c r="V477" s="92"/>
      <c r="W477" s="92"/>
      <c r="X477" s="92"/>
      <c r="Y477" s="92"/>
      <c r="Z477" s="92"/>
    </row>
    <row r="478" spans="1:26" hidden="1">
      <c r="A478" s="92"/>
      <c r="B478" s="92"/>
      <c r="C478" s="92"/>
      <c r="D478" s="92"/>
      <c r="E478" s="92"/>
      <c r="F478" s="92"/>
      <c r="G478" s="92"/>
      <c r="H478" s="92"/>
      <c r="I478" s="92"/>
      <c r="J478" s="92"/>
      <c r="K478" s="92"/>
      <c r="L478" s="92"/>
      <c r="M478" s="92"/>
      <c r="N478" s="92"/>
      <c r="O478" s="92"/>
      <c r="P478" s="92"/>
      <c r="Q478" s="92"/>
      <c r="R478" s="92"/>
      <c r="S478" s="92"/>
      <c r="T478" s="92"/>
      <c r="U478" s="92"/>
      <c r="V478" s="92"/>
      <c r="W478" s="92"/>
      <c r="X478" s="92"/>
      <c r="Y478" s="92"/>
      <c r="Z478" s="92"/>
    </row>
    <row r="479" spans="1:26" hidden="1">
      <c r="A479" s="92"/>
      <c r="B479" s="92"/>
      <c r="C479" s="92"/>
      <c r="D479" s="92"/>
      <c r="E479" s="92"/>
      <c r="F479" s="92"/>
      <c r="G479" s="92"/>
      <c r="H479" s="92"/>
      <c r="I479" s="92"/>
      <c r="J479" s="92"/>
      <c r="K479" s="92"/>
      <c r="L479" s="92"/>
      <c r="M479" s="92"/>
      <c r="N479" s="92"/>
      <c r="O479" s="92"/>
      <c r="P479" s="92"/>
      <c r="Q479" s="92"/>
      <c r="R479" s="92"/>
      <c r="S479" s="92"/>
      <c r="T479" s="92"/>
      <c r="U479" s="92"/>
      <c r="V479" s="92"/>
      <c r="W479" s="92"/>
      <c r="X479" s="92"/>
      <c r="Y479" s="92"/>
      <c r="Z479" s="92"/>
    </row>
    <row r="480" spans="1:26" hidden="1">
      <c r="A480" s="92"/>
      <c r="B480" s="92"/>
      <c r="C480" s="92"/>
      <c r="D480" s="92"/>
      <c r="E480" s="92"/>
      <c r="F480" s="92"/>
      <c r="G480" s="92"/>
      <c r="H480" s="92"/>
      <c r="I480" s="92"/>
      <c r="J480" s="92"/>
      <c r="K480" s="92"/>
      <c r="L480" s="92"/>
      <c r="M480" s="92"/>
      <c r="N480" s="92"/>
      <c r="O480" s="92"/>
      <c r="P480" s="92"/>
      <c r="Q480" s="92"/>
      <c r="R480" s="92"/>
      <c r="S480" s="92"/>
      <c r="T480" s="92"/>
      <c r="U480" s="92"/>
      <c r="V480" s="92"/>
      <c r="W480" s="92"/>
      <c r="X480" s="92"/>
      <c r="Y480" s="92"/>
      <c r="Z480" s="92"/>
    </row>
    <row r="481" spans="1:26" hidden="1">
      <c r="A481" s="92"/>
      <c r="B481" s="92"/>
      <c r="C481" s="92"/>
      <c r="D481" s="92"/>
      <c r="E481" s="92"/>
      <c r="F481" s="92"/>
      <c r="G481" s="92"/>
      <c r="H481" s="92"/>
      <c r="I481" s="92"/>
      <c r="J481" s="92"/>
      <c r="K481" s="92"/>
      <c r="L481" s="92"/>
      <c r="M481" s="92"/>
      <c r="N481" s="92"/>
      <c r="O481" s="92"/>
      <c r="P481" s="92"/>
      <c r="Q481" s="92"/>
      <c r="R481" s="92"/>
      <c r="S481" s="92"/>
      <c r="T481" s="92"/>
      <c r="U481" s="92"/>
      <c r="V481" s="92"/>
      <c r="W481" s="92"/>
      <c r="X481" s="92"/>
      <c r="Y481" s="92"/>
      <c r="Z481" s="92"/>
    </row>
    <row r="482" spans="1:26" hidden="1">
      <c r="A482" s="92"/>
      <c r="B482" s="92"/>
      <c r="C482" s="92"/>
      <c r="D482" s="92"/>
      <c r="E482" s="92"/>
      <c r="F482" s="92"/>
      <c r="G482" s="92"/>
      <c r="H482" s="92"/>
      <c r="I482" s="92"/>
      <c r="J482" s="92"/>
      <c r="K482" s="92"/>
      <c r="L482" s="92"/>
      <c r="M482" s="92"/>
      <c r="N482" s="92"/>
      <c r="O482" s="92"/>
      <c r="P482" s="92"/>
      <c r="Q482" s="92"/>
      <c r="R482" s="92"/>
      <c r="S482" s="92"/>
      <c r="T482" s="92"/>
      <c r="U482" s="92"/>
      <c r="V482" s="92"/>
      <c r="W482" s="92"/>
      <c r="X482" s="92"/>
      <c r="Y482" s="92"/>
      <c r="Z482" s="92"/>
    </row>
    <row r="483" spans="1:26" hidden="1">
      <c r="A483" s="92"/>
      <c r="B483" s="92"/>
      <c r="C483" s="92"/>
      <c r="D483" s="92"/>
      <c r="E483" s="92"/>
      <c r="F483" s="92"/>
      <c r="G483" s="92"/>
      <c r="H483" s="92"/>
      <c r="I483" s="92"/>
      <c r="J483" s="92"/>
      <c r="K483" s="92"/>
      <c r="L483" s="92"/>
      <c r="M483" s="92"/>
      <c r="N483" s="92"/>
      <c r="O483" s="92"/>
      <c r="P483" s="92"/>
      <c r="Q483" s="92"/>
      <c r="R483" s="92"/>
      <c r="S483" s="92"/>
      <c r="T483" s="92"/>
      <c r="U483" s="92"/>
      <c r="V483" s="92"/>
      <c r="W483" s="92"/>
      <c r="X483" s="92"/>
      <c r="Y483" s="92"/>
      <c r="Z483" s="92"/>
    </row>
    <row r="484" spans="1:26" hidden="1">
      <c r="A484" s="92"/>
      <c r="B484" s="92"/>
      <c r="C484" s="92"/>
      <c r="D484" s="92"/>
      <c r="E484" s="92"/>
      <c r="F484" s="92"/>
      <c r="G484" s="92"/>
      <c r="H484" s="92"/>
      <c r="I484" s="92"/>
      <c r="J484" s="92"/>
      <c r="K484" s="92"/>
      <c r="L484" s="92"/>
      <c r="M484" s="92"/>
      <c r="N484" s="92"/>
      <c r="O484" s="92"/>
      <c r="P484" s="92"/>
      <c r="Q484" s="92"/>
      <c r="R484" s="92"/>
      <c r="S484" s="92"/>
      <c r="T484" s="92"/>
      <c r="U484" s="92"/>
      <c r="V484" s="92"/>
      <c r="W484" s="92"/>
      <c r="X484" s="92"/>
      <c r="Y484" s="92"/>
      <c r="Z484" s="92"/>
    </row>
    <row r="485" spans="1:26" hidden="1">
      <c r="A485" s="92"/>
      <c r="B485" s="92"/>
      <c r="C485" s="92"/>
      <c r="D485" s="92"/>
      <c r="E485" s="92"/>
      <c r="F485" s="92"/>
      <c r="G485" s="92"/>
      <c r="H485" s="92"/>
      <c r="I485" s="92"/>
      <c r="J485" s="92"/>
      <c r="K485" s="92"/>
      <c r="L485" s="92"/>
      <c r="M485" s="92"/>
      <c r="N485" s="92"/>
      <c r="O485" s="92"/>
      <c r="P485" s="92"/>
      <c r="Q485" s="92"/>
      <c r="R485" s="92"/>
      <c r="S485" s="92"/>
      <c r="T485" s="92"/>
      <c r="U485" s="92"/>
      <c r="V485" s="92"/>
      <c r="W485" s="92"/>
      <c r="X485" s="92"/>
      <c r="Y485" s="92"/>
      <c r="Z485" s="92"/>
    </row>
    <row r="486" spans="1:26" hidden="1">
      <c r="A486" s="92"/>
      <c r="B486" s="92"/>
      <c r="C486" s="92"/>
      <c r="D486" s="92"/>
      <c r="E486" s="92"/>
      <c r="F486" s="92"/>
      <c r="G486" s="92"/>
      <c r="H486" s="92"/>
      <c r="I486" s="92"/>
      <c r="J486" s="92"/>
      <c r="K486" s="92"/>
      <c r="L486" s="92"/>
      <c r="M486" s="92"/>
      <c r="N486" s="92"/>
      <c r="O486" s="92"/>
      <c r="P486" s="92"/>
      <c r="Q486" s="92"/>
      <c r="R486" s="92"/>
      <c r="S486" s="92"/>
      <c r="T486" s="92"/>
      <c r="U486" s="92"/>
      <c r="V486" s="92"/>
      <c r="W486" s="92"/>
      <c r="X486" s="92"/>
      <c r="Y486" s="92"/>
      <c r="Z486" s="92"/>
    </row>
    <row r="487" spans="1:26" hidden="1">
      <c r="A487" s="92"/>
      <c r="B487" s="92"/>
      <c r="C487" s="92"/>
      <c r="D487" s="92"/>
      <c r="E487" s="92"/>
      <c r="F487" s="92"/>
      <c r="G487" s="92"/>
      <c r="H487" s="92"/>
      <c r="I487" s="92"/>
      <c r="J487" s="92"/>
      <c r="K487" s="92"/>
      <c r="L487" s="92"/>
      <c r="M487" s="92"/>
      <c r="N487" s="92"/>
      <c r="O487" s="92"/>
      <c r="P487" s="92"/>
      <c r="Q487" s="92"/>
      <c r="R487" s="92"/>
      <c r="S487" s="92"/>
      <c r="T487" s="92"/>
      <c r="U487" s="92"/>
      <c r="V487" s="92"/>
      <c r="W487" s="92"/>
      <c r="X487" s="92"/>
      <c r="Y487" s="92"/>
      <c r="Z487" s="92"/>
    </row>
    <row r="488" spans="1:26" hidden="1">
      <c r="A488" s="92"/>
      <c r="B488" s="92"/>
      <c r="C488" s="92"/>
      <c r="D488" s="92"/>
      <c r="E488" s="92"/>
      <c r="F488" s="92"/>
      <c r="G488" s="92"/>
      <c r="H488" s="92"/>
      <c r="I488" s="92"/>
      <c r="J488" s="92"/>
      <c r="K488" s="92"/>
      <c r="L488" s="92"/>
      <c r="M488" s="92"/>
      <c r="N488" s="92"/>
      <c r="O488" s="92"/>
      <c r="P488" s="92"/>
      <c r="Q488" s="92"/>
      <c r="R488" s="92"/>
      <c r="S488" s="92"/>
      <c r="T488" s="92"/>
      <c r="U488" s="92"/>
      <c r="V488" s="92"/>
      <c r="W488" s="92"/>
      <c r="X488" s="92"/>
      <c r="Y488" s="92"/>
      <c r="Z488" s="92"/>
    </row>
    <row r="489" spans="1:26" hidden="1">
      <c r="A489" s="92"/>
      <c r="B489" s="92"/>
      <c r="C489" s="92"/>
      <c r="D489" s="92"/>
      <c r="E489" s="92"/>
      <c r="F489" s="92"/>
      <c r="G489" s="92"/>
      <c r="H489" s="92"/>
      <c r="I489" s="92"/>
      <c r="J489" s="92"/>
      <c r="K489" s="92"/>
      <c r="L489" s="92"/>
      <c r="M489" s="92"/>
      <c r="N489" s="92"/>
      <c r="O489" s="92"/>
      <c r="P489" s="92"/>
      <c r="Q489" s="92"/>
      <c r="R489" s="92"/>
      <c r="S489" s="92"/>
      <c r="T489" s="92"/>
      <c r="U489" s="92"/>
      <c r="V489" s="92"/>
      <c r="W489" s="92"/>
      <c r="X489" s="92"/>
      <c r="Y489" s="92"/>
      <c r="Z489" s="92"/>
    </row>
    <row r="490" spans="1:26" hidden="1">
      <c r="A490" s="92"/>
      <c r="B490" s="92"/>
      <c r="C490" s="92"/>
      <c r="D490" s="92"/>
      <c r="E490" s="92"/>
      <c r="F490" s="92"/>
      <c r="G490" s="92"/>
      <c r="H490" s="92"/>
      <c r="I490" s="92"/>
      <c r="J490" s="92"/>
      <c r="K490" s="92"/>
      <c r="L490" s="92"/>
      <c r="M490" s="92"/>
      <c r="N490" s="92"/>
      <c r="O490" s="92"/>
      <c r="P490" s="92"/>
      <c r="Q490" s="92"/>
      <c r="R490" s="92"/>
      <c r="S490" s="92"/>
      <c r="T490" s="92"/>
      <c r="U490" s="92"/>
      <c r="V490" s="92"/>
      <c r="W490" s="92"/>
      <c r="X490" s="92"/>
      <c r="Y490" s="92"/>
      <c r="Z490" s="92"/>
    </row>
    <row r="491" spans="1:26" hidden="1">
      <c r="A491" s="92"/>
      <c r="B491" s="92"/>
      <c r="C491" s="92"/>
      <c r="D491" s="92"/>
      <c r="E491" s="92"/>
      <c r="F491" s="92"/>
      <c r="G491" s="92"/>
      <c r="H491" s="92"/>
      <c r="I491" s="92"/>
      <c r="J491" s="92"/>
      <c r="K491" s="92"/>
      <c r="L491" s="92"/>
      <c r="M491" s="92"/>
      <c r="N491" s="92"/>
      <c r="O491" s="92"/>
      <c r="P491" s="92"/>
      <c r="Q491" s="92"/>
      <c r="R491" s="92"/>
      <c r="S491" s="92"/>
      <c r="T491" s="92"/>
      <c r="U491" s="92"/>
      <c r="V491" s="92"/>
      <c r="W491" s="92"/>
      <c r="X491" s="92"/>
      <c r="Y491" s="92"/>
      <c r="Z491" s="92"/>
    </row>
    <row r="492" spans="1:26" hidden="1">
      <c r="A492" s="92"/>
      <c r="B492" s="92"/>
      <c r="C492" s="92"/>
      <c r="D492" s="92"/>
      <c r="E492" s="92"/>
      <c r="F492" s="92"/>
      <c r="G492" s="92"/>
      <c r="H492" s="92"/>
      <c r="I492" s="92"/>
      <c r="J492" s="92"/>
      <c r="K492" s="92"/>
      <c r="L492" s="92"/>
      <c r="M492" s="92"/>
      <c r="N492" s="92"/>
      <c r="O492" s="92"/>
      <c r="P492" s="92"/>
      <c r="Q492" s="92"/>
      <c r="R492" s="92"/>
      <c r="S492" s="92"/>
      <c r="T492" s="92"/>
      <c r="U492" s="92"/>
      <c r="V492" s="92"/>
      <c r="W492" s="92"/>
      <c r="X492" s="92"/>
      <c r="Y492" s="92"/>
      <c r="Z492" s="92"/>
    </row>
    <row r="493" spans="1:26" hidden="1">
      <c r="A493" s="92"/>
      <c r="B493" s="92"/>
      <c r="C493" s="92"/>
      <c r="D493" s="92"/>
      <c r="E493" s="92"/>
      <c r="F493" s="92"/>
      <c r="G493" s="92"/>
      <c r="H493" s="92"/>
      <c r="I493" s="92"/>
      <c r="J493" s="92"/>
      <c r="K493" s="92"/>
      <c r="L493" s="92"/>
      <c r="M493" s="92"/>
      <c r="N493" s="92"/>
      <c r="O493" s="92"/>
      <c r="P493" s="92"/>
      <c r="Q493" s="92"/>
      <c r="R493" s="92"/>
      <c r="S493" s="92"/>
      <c r="T493" s="92"/>
      <c r="U493" s="92"/>
      <c r="V493" s="92"/>
      <c r="W493" s="92"/>
      <c r="X493" s="92"/>
      <c r="Y493" s="92"/>
      <c r="Z493" s="92"/>
    </row>
    <row r="494" spans="1:26" hidden="1">
      <c r="A494" s="92"/>
      <c r="B494" s="92"/>
      <c r="C494" s="92"/>
      <c r="D494" s="92"/>
      <c r="E494" s="92"/>
      <c r="F494" s="92"/>
      <c r="G494" s="92"/>
      <c r="H494" s="92"/>
      <c r="I494" s="92"/>
      <c r="J494" s="92"/>
      <c r="K494" s="92"/>
      <c r="L494" s="92"/>
      <c r="M494" s="92"/>
      <c r="N494" s="92"/>
      <c r="O494" s="92"/>
      <c r="P494" s="92"/>
      <c r="Q494" s="92"/>
      <c r="R494" s="92"/>
      <c r="S494" s="92"/>
      <c r="T494" s="92"/>
      <c r="U494" s="92"/>
      <c r="V494" s="92"/>
      <c r="W494" s="92"/>
      <c r="X494" s="92"/>
      <c r="Y494" s="92"/>
      <c r="Z494" s="92"/>
    </row>
    <row r="495" spans="1:26" hidden="1">
      <c r="A495" s="92"/>
      <c r="B495" s="92"/>
      <c r="C495" s="92"/>
      <c r="D495" s="92"/>
      <c r="E495" s="92"/>
      <c r="F495" s="92"/>
      <c r="G495" s="92"/>
      <c r="H495" s="92"/>
      <c r="I495" s="92"/>
      <c r="J495" s="92"/>
      <c r="K495" s="92"/>
      <c r="L495" s="92"/>
      <c r="M495" s="92"/>
      <c r="N495" s="92"/>
      <c r="O495" s="92"/>
      <c r="P495" s="92"/>
      <c r="Q495" s="92"/>
      <c r="R495" s="92"/>
      <c r="S495" s="92"/>
      <c r="T495" s="92"/>
      <c r="U495" s="92"/>
      <c r="V495" s="92"/>
      <c r="W495" s="92"/>
      <c r="X495" s="92"/>
      <c r="Y495" s="92"/>
      <c r="Z495" s="92"/>
    </row>
    <row r="496" spans="1:26" hidden="1">
      <c r="A496" s="92"/>
      <c r="B496" s="92"/>
      <c r="C496" s="92"/>
      <c r="D496" s="92"/>
      <c r="E496" s="92"/>
      <c r="F496" s="92"/>
      <c r="G496" s="92"/>
      <c r="H496" s="92"/>
      <c r="I496" s="92"/>
      <c r="J496" s="92"/>
      <c r="K496" s="92"/>
      <c r="L496" s="92"/>
      <c r="M496" s="92"/>
      <c r="N496" s="92"/>
      <c r="O496" s="92"/>
      <c r="P496" s="92"/>
      <c r="Q496" s="92"/>
      <c r="R496" s="92"/>
      <c r="S496" s="92"/>
      <c r="T496" s="92"/>
      <c r="U496" s="92"/>
      <c r="V496" s="92"/>
      <c r="W496" s="92"/>
      <c r="X496" s="92"/>
      <c r="Y496" s="92"/>
      <c r="Z496" s="92"/>
    </row>
    <row r="497" spans="1:26" hidden="1">
      <c r="A497" s="92"/>
      <c r="B497" s="92"/>
      <c r="C497" s="92"/>
      <c r="D497" s="92"/>
      <c r="E497" s="92"/>
      <c r="F497" s="92"/>
      <c r="G497" s="92"/>
      <c r="H497" s="92"/>
      <c r="I497" s="92"/>
      <c r="J497" s="92"/>
      <c r="K497" s="92"/>
      <c r="L497" s="92"/>
      <c r="M497" s="92"/>
      <c r="N497" s="92"/>
      <c r="O497" s="92"/>
      <c r="P497" s="92"/>
      <c r="Q497" s="92"/>
      <c r="R497" s="92"/>
      <c r="S497" s="92"/>
      <c r="T497" s="92"/>
      <c r="U497" s="92"/>
      <c r="V497" s="92"/>
      <c r="W497" s="92"/>
      <c r="X497" s="92"/>
      <c r="Y497" s="92"/>
      <c r="Z497" s="92"/>
    </row>
    <row r="498" spans="1:26" hidden="1">
      <c r="A498" s="92"/>
      <c r="B498" s="92"/>
      <c r="C498" s="92"/>
      <c r="D498" s="92"/>
      <c r="E498" s="92"/>
      <c r="F498" s="92"/>
      <c r="G498" s="92"/>
      <c r="H498" s="92"/>
      <c r="I498" s="92"/>
      <c r="J498" s="92"/>
      <c r="K498" s="92"/>
      <c r="L498" s="92"/>
      <c r="M498" s="92"/>
      <c r="N498" s="92"/>
      <c r="O498" s="92"/>
      <c r="P498" s="92"/>
      <c r="Q498" s="92"/>
      <c r="R498" s="92"/>
      <c r="S498" s="92"/>
      <c r="T498" s="92"/>
      <c r="U498" s="92"/>
      <c r="V498" s="92"/>
      <c r="W498" s="92"/>
      <c r="X498" s="92"/>
      <c r="Y498" s="92"/>
      <c r="Z498" s="92"/>
    </row>
    <row r="499" spans="1:26" hidden="1">
      <c r="A499" s="92"/>
      <c r="B499" s="92"/>
      <c r="C499" s="92"/>
      <c r="D499" s="92"/>
      <c r="E499" s="92"/>
      <c r="F499" s="92"/>
      <c r="G499" s="92"/>
      <c r="H499" s="92"/>
      <c r="I499" s="92"/>
      <c r="J499" s="92"/>
      <c r="K499" s="92"/>
      <c r="L499" s="92"/>
      <c r="M499" s="92"/>
      <c r="N499" s="92"/>
      <c r="O499" s="92"/>
      <c r="P499" s="92"/>
      <c r="Q499" s="92"/>
      <c r="R499" s="92"/>
      <c r="S499" s="92"/>
      <c r="T499" s="92"/>
      <c r="U499" s="92"/>
      <c r="V499" s="92"/>
      <c r="W499" s="92"/>
      <c r="X499" s="92"/>
      <c r="Y499" s="92"/>
      <c r="Z499" s="92"/>
    </row>
    <row r="500" spans="1:26" hidden="1">
      <c r="A500" s="92"/>
      <c r="B500" s="92"/>
      <c r="C500" s="92"/>
      <c r="D500" s="92"/>
      <c r="E500" s="92"/>
      <c r="F500" s="92"/>
      <c r="G500" s="92"/>
      <c r="H500" s="92"/>
      <c r="I500" s="92"/>
      <c r="J500" s="92"/>
      <c r="K500" s="92"/>
      <c r="L500" s="92"/>
      <c r="M500" s="92"/>
      <c r="N500" s="92"/>
      <c r="O500" s="92"/>
      <c r="P500" s="92"/>
      <c r="Q500" s="92"/>
      <c r="R500" s="92"/>
      <c r="S500" s="92"/>
      <c r="T500" s="92"/>
      <c r="U500" s="92"/>
      <c r="V500" s="92"/>
      <c r="W500" s="92"/>
      <c r="X500" s="92"/>
      <c r="Y500" s="92"/>
      <c r="Z500" s="92"/>
    </row>
    <row r="501" spans="1:26" hidden="1">
      <c r="A501" s="92"/>
      <c r="B501" s="92"/>
      <c r="C501" s="92"/>
      <c r="D501" s="92"/>
      <c r="E501" s="92"/>
      <c r="F501" s="92"/>
      <c r="G501" s="92"/>
      <c r="H501" s="92"/>
      <c r="I501" s="92"/>
      <c r="J501" s="92"/>
      <c r="K501" s="92"/>
      <c r="L501" s="92"/>
      <c r="M501" s="92"/>
      <c r="N501" s="92"/>
      <c r="O501" s="92"/>
      <c r="P501" s="92"/>
      <c r="Q501" s="92"/>
      <c r="R501" s="92"/>
      <c r="S501" s="92"/>
      <c r="T501" s="92"/>
      <c r="U501" s="92"/>
      <c r="V501" s="92"/>
      <c r="W501" s="92"/>
      <c r="X501" s="92"/>
      <c r="Y501" s="92"/>
      <c r="Z501" s="92"/>
    </row>
    <row r="502" spans="1:26" hidden="1">
      <c r="A502" s="92"/>
      <c r="B502" s="92"/>
      <c r="C502" s="92"/>
      <c r="D502" s="92"/>
      <c r="E502" s="92"/>
      <c r="F502" s="92"/>
      <c r="G502" s="92"/>
      <c r="H502" s="92"/>
      <c r="I502" s="92"/>
      <c r="J502" s="92"/>
      <c r="K502" s="92"/>
      <c r="L502" s="92"/>
      <c r="M502" s="92"/>
      <c r="N502" s="92"/>
      <c r="O502" s="92"/>
      <c r="P502" s="92"/>
      <c r="Q502" s="92"/>
      <c r="R502" s="92"/>
      <c r="S502" s="92"/>
      <c r="T502" s="92"/>
      <c r="U502" s="92"/>
      <c r="V502" s="92"/>
      <c r="W502" s="92"/>
      <c r="X502" s="92"/>
      <c r="Y502" s="92"/>
      <c r="Z502" s="92"/>
    </row>
    <row r="503" spans="1:26" hidden="1">
      <c r="A503" s="92"/>
      <c r="B503" s="92"/>
      <c r="C503" s="92"/>
      <c r="D503" s="92"/>
      <c r="E503" s="92"/>
      <c r="F503" s="92"/>
      <c r="G503" s="92"/>
      <c r="H503" s="92"/>
      <c r="I503" s="92"/>
      <c r="J503" s="92"/>
      <c r="K503" s="92"/>
      <c r="L503" s="92"/>
      <c r="M503" s="92"/>
      <c r="N503" s="92"/>
      <c r="O503" s="92"/>
      <c r="P503" s="92"/>
      <c r="Q503" s="92"/>
      <c r="R503" s="92"/>
      <c r="S503" s="92"/>
      <c r="T503" s="92"/>
      <c r="U503" s="92"/>
      <c r="V503" s="92"/>
      <c r="W503" s="92"/>
      <c r="X503" s="92"/>
      <c r="Y503" s="92"/>
      <c r="Z503" s="92"/>
    </row>
    <row r="504" spans="1:26" hidden="1">
      <c r="A504" s="92"/>
      <c r="B504" s="92"/>
      <c r="C504" s="92"/>
      <c r="D504" s="92"/>
      <c r="E504" s="92"/>
      <c r="F504" s="92"/>
      <c r="G504" s="92"/>
      <c r="H504" s="92"/>
      <c r="I504" s="92"/>
      <c r="J504" s="92"/>
      <c r="K504" s="92"/>
      <c r="L504" s="92"/>
      <c r="M504" s="92"/>
      <c r="N504" s="92"/>
      <c r="O504" s="92"/>
      <c r="P504" s="92"/>
      <c r="Q504" s="92"/>
      <c r="R504" s="92"/>
      <c r="S504" s="92"/>
      <c r="T504" s="92"/>
      <c r="U504" s="92"/>
      <c r="V504" s="92"/>
      <c r="W504" s="92"/>
      <c r="X504" s="92"/>
      <c r="Y504" s="92"/>
      <c r="Z504" s="92"/>
    </row>
    <row r="505" spans="1:26" hidden="1">
      <c r="A505" s="92"/>
      <c r="B505" s="92"/>
      <c r="C505" s="92"/>
      <c r="D505" s="92"/>
      <c r="E505" s="92"/>
      <c r="F505" s="92"/>
      <c r="G505" s="92"/>
      <c r="H505" s="92"/>
      <c r="I505" s="92"/>
      <c r="J505" s="92"/>
      <c r="K505" s="92"/>
      <c r="L505" s="92"/>
      <c r="M505" s="92"/>
      <c r="N505" s="92"/>
      <c r="O505" s="92"/>
      <c r="P505" s="92"/>
      <c r="Q505" s="92"/>
      <c r="R505" s="92"/>
      <c r="S505" s="92"/>
      <c r="T505" s="92"/>
      <c r="U505" s="92"/>
      <c r="V505" s="92"/>
      <c r="W505" s="92"/>
      <c r="X505" s="92"/>
      <c r="Y505" s="92"/>
      <c r="Z505" s="92"/>
    </row>
    <row r="506" spans="1:26" hidden="1">
      <c r="A506" s="92"/>
      <c r="B506" s="92"/>
      <c r="C506" s="92"/>
      <c r="D506" s="92"/>
      <c r="E506" s="92"/>
      <c r="F506" s="92"/>
      <c r="G506" s="92"/>
      <c r="H506" s="92"/>
      <c r="I506" s="92"/>
      <c r="J506" s="92"/>
      <c r="K506" s="92"/>
      <c r="L506" s="92"/>
      <c r="M506" s="92"/>
      <c r="N506" s="92"/>
      <c r="O506" s="92"/>
      <c r="P506" s="92"/>
      <c r="Q506" s="92"/>
      <c r="R506" s="92"/>
      <c r="S506" s="92"/>
      <c r="T506" s="92"/>
      <c r="U506" s="92"/>
      <c r="V506" s="92"/>
      <c r="W506" s="92"/>
      <c r="X506" s="92"/>
      <c r="Y506" s="92"/>
      <c r="Z506" s="92"/>
    </row>
    <row r="507" spans="1:26" hidden="1">
      <c r="A507" s="92"/>
      <c r="B507" s="92"/>
      <c r="C507" s="92"/>
      <c r="D507" s="92"/>
      <c r="E507" s="92"/>
      <c r="F507" s="92"/>
      <c r="G507" s="92"/>
      <c r="H507" s="92"/>
      <c r="I507" s="92"/>
      <c r="J507" s="92"/>
      <c r="K507" s="92"/>
      <c r="L507" s="92"/>
      <c r="M507" s="92"/>
      <c r="N507" s="92"/>
      <c r="O507" s="92"/>
      <c r="P507" s="92"/>
      <c r="Q507" s="92"/>
      <c r="R507" s="92"/>
      <c r="S507" s="92"/>
      <c r="T507" s="92"/>
      <c r="U507" s="92"/>
      <c r="V507" s="92"/>
      <c r="W507" s="92"/>
      <c r="X507" s="92"/>
      <c r="Y507" s="92"/>
      <c r="Z507" s="92"/>
    </row>
    <row r="508" spans="1:26" hidden="1">
      <c r="A508" s="92"/>
      <c r="B508" s="92"/>
      <c r="C508" s="92"/>
      <c r="D508" s="92"/>
      <c r="E508" s="92"/>
      <c r="F508" s="92"/>
      <c r="G508" s="92"/>
      <c r="H508" s="92"/>
      <c r="I508" s="92"/>
      <c r="J508" s="92"/>
      <c r="K508" s="92"/>
      <c r="L508" s="92"/>
      <c r="M508" s="92"/>
      <c r="N508" s="92"/>
      <c r="O508" s="92"/>
      <c r="P508" s="92"/>
      <c r="Q508" s="92"/>
      <c r="R508" s="92"/>
      <c r="S508" s="92"/>
      <c r="T508" s="92"/>
      <c r="U508" s="92"/>
      <c r="V508" s="92"/>
      <c r="W508" s="92"/>
      <c r="X508" s="92"/>
      <c r="Y508" s="92"/>
      <c r="Z508" s="92"/>
    </row>
    <row r="509" spans="1:26" hidden="1">
      <c r="A509" s="92"/>
      <c r="B509" s="92"/>
      <c r="C509" s="92"/>
      <c r="D509" s="92"/>
      <c r="E509" s="92"/>
      <c r="F509" s="92"/>
      <c r="G509" s="92"/>
      <c r="H509" s="92"/>
      <c r="I509" s="92"/>
      <c r="J509" s="92"/>
      <c r="K509" s="92"/>
      <c r="L509" s="92"/>
      <c r="M509" s="92"/>
      <c r="N509" s="92"/>
      <c r="O509" s="92"/>
      <c r="P509" s="92"/>
      <c r="Q509" s="92"/>
      <c r="R509" s="92"/>
      <c r="S509" s="92"/>
      <c r="T509" s="92"/>
      <c r="U509" s="92"/>
      <c r="V509" s="92"/>
      <c r="W509" s="92"/>
      <c r="X509" s="92"/>
      <c r="Y509" s="92"/>
      <c r="Z509" s="92"/>
    </row>
    <row r="510" spans="1:26" hidden="1">
      <c r="A510" s="92"/>
      <c r="B510" s="92"/>
      <c r="C510" s="92"/>
      <c r="D510" s="92"/>
      <c r="E510" s="92"/>
      <c r="F510" s="92"/>
      <c r="G510" s="92"/>
      <c r="H510" s="92"/>
      <c r="I510" s="92"/>
      <c r="J510" s="92"/>
      <c r="K510" s="92"/>
      <c r="L510" s="92"/>
      <c r="M510" s="92"/>
      <c r="N510" s="92"/>
      <c r="O510" s="92"/>
      <c r="P510" s="92"/>
      <c r="Q510" s="92"/>
      <c r="R510" s="92"/>
      <c r="S510" s="92"/>
      <c r="T510" s="92"/>
      <c r="U510" s="92"/>
      <c r="V510" s="92"/>
      <c r="W510" s="92"/>
      <c r="X510" s="92"/>
      <c r="Y510" s="92"/>
      <c r="Z510" s="92"/>
    </row>
    <row r="511" spans="1:26" hidden="1">
      <c r="A511" s="92"/>
      <c r="B511" s="92"/>
      <c r="C511" s="92"/>
      <c r="D511" s="92"/>
      <c r="E511" s="92"/>
      <c r="F511" s="92"/>
      <c r="G511" s="92"/>
      <c r="H511" s="92"/>
      <c r="I511" s="92"/>
      <c r="J511" s="92"/>
      <c r="K511" s="92"/>
      <c r="L511" s="92"/>
      <c r="M511" s="92"/>
      <c r="N511" s="92"/>
      <c r="O511" s="92"/>
      <c r="P511" s="92"/>
      <c r="Q511" s="92"/>
      <c r="R511" s="92"/>
      <c r="S511" s="92"/>
      <c r="T511" s="92"/>
      <c r="U511" s="92"/>
      <c r="V511" s="92"/>
      <c r="W511" s="92"/>
      <c r="X511" s="92"/>
      <c r="Y511" s="92"/>
      <c r="Z511" s="92"/>
    </row>
    <row r="512" spans="1:26" hidden="1">
      <c r="A512" s="92"/>
      <c r="B512" s="92"/>
      <c r="C512" s="92"/>
      <c r="D512" s="92"/>
      <c r="E512" s="92"/>
      <c r="F512" s="92"/>
      <c r="G512" s="92"/>
      <c r="H512" s="92"/>
      <c r="I512" s="92"/>
      <c r="J512" s="92"/>
      <c r="K512" s="92"/>
      <c r="L512" s="92"/>
      <c r="M512" s="92"/>
      <c r="N512" s="92"/>
      <c r="O512" s="92"/>
      <c r="P512" s="92"/>
      <c r="Q512" s="92"/>
      <c r="R512" s="92"/>
      <c r="S512" s="92"/>
      <c r="T512" s="92"/>
      <c r="U512" s="92"/>
      <c r="V512" s="92"/>
      <c r="W512" s="92"/>
      <c r="X512" s="92"/>
      <c r="Y512" s="92"/>
      <c r="Z512" s="92"/>
    </row>
    <row r="513" spans="1:26" hidden="1">
      <c r="A513" s="92"/>
      <c r="B513" s="92"/>
      <c r="C513" s="92"/>
      <c r="D513" s="92"/>
      <c r="E513" s="92"/>
      <c r="F513" s="92"/>
      <c r="G513" s="92"/>
      <c r="H513" s="92"/>
      <c r="I513" s="92"/>
      <c r="J513" s="92"/>
      <c r="K513" s="92"/>
      <c r="L513" s="92"/>
      <c r="M513" s="92"/>
      <c r="N513" s="92"/>
      <c r="O513" s="92"/>
      <c r="P513" s="92"/>
      <c r="Q513" s="92"/>
      <c r="R513" s="92"/>
      <c r="S513" s="92"/>
      <c r="T513" s="92"/>
      <c r="U513" s="92"/>
      <c r="V513" s="92"/>
      <c r="W513" s="92"/>
      <c r="X513" s="92"/>
      <c r="Y513" s="92"/>
      <c r="Z513" s="92"/>
    </row>
    <row r="514" spans="1:26" hidden="1">
      <c r="A514" s="92"/>
      <c r="B514" s="92"/>
      <c r="C514" s="92"/>
      <c r="D514" s="92"/>
      <c r="E514" s="92"/>
      <c r="F514" s="92"/>
      <c r="G514" s="92"/>
      <c r="H514" s="92"/>
      <c r="I514" s="92"/>
      <c r="J514" s="92"/>
      <c r="K514" s="92"/>
      <c r="L514" s="92"/>
      <c r="M514" s="92"/>
      <c r="N514" s="92"/>
      <c r="O514" s="92"/>
      <c r="P514" s="92"/>
      <c r="Q514" s="92"/>
      <c r="R514" s="92"/>
      <c r="S514" s="92"/>
      <c r="T514" s="92"/>
      <c r="U514" s="92"/>
      <c r="V514" s="92"/>
      <c r="W514" s="92"/>
      <c r="X514" s="92"/>
      <c r="Y514" s="92"/>
      <c r="Z514" s="92"/>
    </row>
    <row r="515" spans="1:26" hidden="1">
      <c r="A515" s="92"/>
      <c r="B515" s="92"/>
      <c r="C515" s="92"/>
      <c r="D515" s="92"/>
      <c r="E515" s="92"/>
      <c r="F515" s="92"/>
      <c r="G515" s="92"/>
      <c r="H515" s="92"/>
      <c r="I515" s="92"/>
      <c r="J515" s="92"/>
      <c r="K515" s="92"/>
      <c r="L515" s="92"/>
      <c r="M515" s="92"/>
      <c r="N515" s="92"/>
      <c r="O515" s="92"/>
      <c r="P515" s="92"/>
      <c r="Q515" s="92"/>
      <c r="R515" s="92"/>
      <c r="S515" s="92"/>
      <c r="T515" s="92"/>
      <c r="U515" s="92"/>
      <c r="V515" s="92"/>
      <c r="W515" s="92"/>
      <c r="X515" s="92"/>
      <c r="Y515" s="92"/>
      <c r="Z515" s="92"/>
    </row>
    <row r="516" spans="1:26" hidden="1">
      <c r="A516" s="92"/>
      <c r="B516" s="92"/>
      <c r="C516" s="92"/>
      <c r="D516" s="92"/>
      <c r="E516" s="92"/>
      <c r="F516" s="92"/>
      <c r="G516" s="92"/>
      <c r="H516" s="92"/>
      <c r="I516" s="92"/>
      <c r="J516" s="92"/>
      <c r="K516" s="92"/>
      <c r="L516" s="92"/>
      <c r="M516" s="92"/>
      <c r="N516" s="92"/>
      <c r="O516" s="92"/>
      <c r="P516" s="92"/>
      <c r="Q516" s="92"/>
      <c r="R516" s="92"/>
      <c r="S516" s="92"/>
      <c r="T516" s="92"/>
      <c r="U516" s="92"/>
      <c r="V516" s="92"/>
      <c r="W516" s="92"/>
      <c r="X516" s="92"/>
      <c r="Y516" s="92"/>
      <c r="Z516" s="92"/>
    </row>
    <row r="517" spans="1:26" hidden="1">
      <c r="A517" s="92"/>
      <c r="B517" s="92"/>
      <c r="C517" s="92"/>
      <c r="D517" s="92"/>
      <c r="E517" s="92"/>
      <c r="F517" s="92"/>
      <c r="G517" s="92"/>
      <c r="H517" s="92"/>
      <c r="I517" s="92"/>
      <c r="J517" s="92"/>
      <c r="K517" s="92"/>
      <c r="L517" s="92"/>
      <c r="M517" s="92"/>
      <c r="N517" s="92"/>
      <c r="O517" s="92"/>
      <c r="P517" s="92"/>
      <c r="Q517" s="92"/>
      <c r="R517" s="92"/>
      <c r="S517" s="92"/>
      <c r="T517" s="92"/>
      <c r="U517" s="92"/>
      <c r="V517" s="92"/>
      <c r="W517" s="92"/>
      <c r="X517" s="92"/>
      <c r="Y517" s="92"/>
      <c r="Z517" s="92"/>
    </row>
    <row r="518" spans="1:26" hidden="1">
      <c r="A518" s="92"/>
      <c r="B518" s="92"/>
      <c r="C518" s="92"/>
      <c r="D518" s="92"/>
      <c r="E518" s="92"/>
      <c r="F518" s="92"/>
      <c r="G518" s="92"/>
      <c r="H518" s="92"/>
      <c r="I518" s="92"/>
      <c r="J518" s="92"/>
      <c r="K518" s="92"/>
      <c r="L518" s="92"/>
      <c r="M518" s="92"/>
      <c r="N518" s="92"/>
      <c r="O518" s="92"/>
      <c r="P518" s="92"/>
      <c r="Q518" s="92"/>
      <c r="R518" s="92"/>
      <c r="S518" s="92"/>
      <c r="T518" s="92"/>
      <c r="U518" s="92"/>
      <c r="V518" s="92"/>
      <c r="W518" s="92"/>
      <c r="X518" s="92"/>
      <c r="Y518" s="92"/>
      <c r="Z518" s="92"/>
    </row>
    <row r="519" spans="1:26" hidden="1">
      <c r="A519" s="92"/>
      <c r="B519" s="92"/>
      <c r="C519" s="92"/>
      <c r="D519" s="92"/>
      <c r="E519" s="92"/>
      <c r="F519" s="92"/>
      <c r="G519" s="92"/>
      <c r="H519" s="92"/>
      <c r="I519" s="92"/>
      <c r="J519" s="92"/>
      <c r="K519" s="92"/>
      <c r="L519" s="92"/>
      <c r="M519" s="92"/>
      <c r="N519" s="92"/>
      <c r="O519" s="92"/>
      <c r="P519" s="92"/>
      <c r="Q519" s="92"/>
      <c r="R519" s="92"/>
      <c r="S519" s="92"/>
      <c r="T519" s="92"/>
      <c r="U519" s="92"/>
      <c r="V519" s="92"/>
      <c r="W519" s="92"/>
      <c r="X519" s="92"/>
      <c r="Y519" s="92"/>
      <c r="Z519" s="92"/>
    </row>
    <row r="520" spans="1:26" hidden="1">
      <c r="A520" s="92"/>
      <c r="B520" s="92"/>
      <c r="C520" s="92"/>
      <c r="D520" s="92"/>
      <c r="E520" s="92"/>
      <c r="F520" s="92"/>
      <c r="G520" s="92"/>
      <c r="H520" s="92"/>
      <c r="I520" s="92"/>
      <c r="J520" s="92"/>
      <c r="K520" s="92"/>
      <c r="L520" s="92"/>
      <c r="M520" s="92"/>
      <c r="N520" s="92"/>
      <c r="O520" s="92"/>
      <c r="P520" s="92"/>
      <c r="Q520" s="92"/>
      <c r="R520" s="92"/>
      <c r="S520" s="92"/>
      <c r="T520" s="92"/>
      <c r="U520" s="92"/>
      <c r="V520" s="92"/>
      <c r="W520" s="92"/>
      <c r="X520" s="92"/>
      <c r="Y520" s="92"/>
      <c r="Z520" s="92"/>
    </row>
    <row r="521" spans="1:26" hidden="1">
      <c r="A521" s="92"/>
      <c r="B521" s="92"/>
      <c r="C521" s="92"/>
      <c r="D521" s="92"/>
      <c r="E521" s="92"/>
      <c r="F521" s="92"/>
      <c r="G521" s="92"/>
      <c r="H521" s="92"/>
      <c r="I521" s="92"/>
      <c r="J521" s="92"/>
      <c r="K521" s="92"/>
      <c r="L521" s="92"/>
      <c r="M521" s="92"/>
      <c r="N521" s="92"/>
      <c r="O521" s="92"/>
      <c r="P521" s="92"/>
      <c r="Q521" s="92"/>
      <c r="R521" s="92"/>
      <c r="S521" s="92"/>
      <c r="T521" s="92"/>
      <c r="U521" s="92"/>
      <c r="V521" s="92"/>
      <c r="W521" s="92"/>
      <c r="X521" s="92"/>
      <c r="Y521" s="92"/>
      <c r="Z521" s="92"/>
    </row>
    <row r="522" spans="1:26" hidden="1">
      <c r="A522" s="92"/>
      <c r="B522" s="92"/>
      <c r="C522" s="92"/>
      <c r="D522" s="92"/>
      <c r="E522" s="92"/>
      <c r="F522" s="92"/>
      <c r="G522" s="92"/>
      <c r="H522" s="92"/>
      <c r="I522" s="92"/>
      <c r="J522" s="92"/>
      <c r="K522" s="92"/>
      <c r="L522" s="92"/>
      <c r="M522" s="92"/>
      <c r="N522" s="92"/>
      <c r="O522" s="92"/>
      <c r="P522" s="92"/>
      <c r="Q522" s="92"/>
      <c r="R522" s="92"/>
      <c r="S522" s="92"/>
      <c r="T522" s="92"/>
      <c r="U522" s="92"/>
      <c r="V522" s="92"/>
      <c r="W522" s="92"/>
      <c r="X522" s="92"/>
      <c r="Y522" s="92"/>
      <c r="Z522" s="92"/>
    </row>
    <row r="523" spans="1:26" hidden="1">
      <c r="A523" s="92"/>
      <c r="B523" s="92"/>
      <c r="C523" s="92"/>
      <c r="D523" s="92"/>
      <c r="E523" s="92"/>
      <c r="F523" s="92"/>
      <c r="G523" s="92"/>
      <c r="H523" s="92"/>
      <c r="I523" s="92"/>
      <c r="J523" s="92"/>
      <c r="K523" s="92"/>
      <c r="L523" s="92"/>
      <c r="M523" s="92"/>
      <c r="N523" s="92"/>
      <c r="O523" s="92"/>
      <c r="P523" s="92"/>
      <c r="Q523" s="92"/>
      <c r="R523" s="92"/>
      <c r="S523" s="92"/>
      <c r="T523" s="92"/>
      <c r="U523" s="92"/>
      <c r="V523" s="92"/>
      <c r="W523" s="92"/>
      <c r="X523" s="92"/>
      <c r="Y523" s="92"/>
      <c r="Z523" s="92"/>
    </row>
    <row r="524" spans="1:26" hidden="1">
      <c r="A524" s="92"/>
      <c r="B524" s="92"/>
      <c r="C524" s="92"/>
      <c r="D524" s="92"/>
      <c r="E524" s="92"/>
      <c r="F524" s="92"/>
      <c r="G524" s="92"/>
      <c r="H524" s="92"/>
      <c r="I524" s="92"/>
      <c r="J524" s="92"/>
      <c r="K524" s="92"/>
      <c r="L524" s="92"/>
      <c r="M524" s="92"/>
      <c r="N524" s="92"/>
      <c r="O524" s="92"/>
      <c r="P524" s="92"/>
      <c r="Q524" s="92"/>
      <c r="R524" s="92"/>
      <c r="S524" s="92"/>
      <c r="T524" s="92"/>
      <c r="U524" s="92"/>
      <c r="V524" s="92"/>
      <c r="W524" s="92"/>
      <c r="X524" s="92"/>
      <c r="Y524" s="92"/>
      <c r="Z524" s="92"/>
    </row>
    <row r="525" spans="1:26" hidden="1">
      <c r="A525" s="92"/>
      <c r="B525" s="92"/>
      <c r="C525" s="92"/>
      <c r="D525" s="92"/>
      <c r="E525" s="92"/>
      <c r="F525" s="92"/>
      <c r="G525" s="92"/>
      <c r="H525" s="92"/>
      <c r="I525" s="92"/>
      <c r="J525" s="92"/>
      <c r="K525" s="92"/>
      <c r="L525" s="92"/>
      <c r="M525" s="92"/>
      <c r="N525" s="92"/>
      <c r="O525" s="92"/>
      <c r="P525" s="92"/>
      <c r="Q525" s="92"/>
      <c r="R525" s="92"/>
      <c r="S525" s="92"/>
      <c r="T525" s="92"/>
      <c r="U525" s="92"/>
      <c r="V525" s="92"/>
      <c r="W525" s="92"/>
      <c r="X525" s="92"/>
      <c r="Y525" s="92"/>
      <c r="Z525" s="92"/>
    </row>
    <row r="526" spans="1:26" hidden="1">
      <c r="A526" s="92"/>
      <c r="B526" s="92"/>
      <c r="C526" s="92"/>
      <c r="D526" s="92"/>
      <c r="E526" s="92"/>
      <c r="F526" s="92"/>
      <c r="G526" s="92"/>
      <c r="H526" s="92"/>
      <c r="I526" s="92"/>
      <c r="J526" s="92"/>
      <c r="K526" s="92"/>
      <c r="L526" s="92"/>
      <c r="M526" s="92"/>
      <c r="N526" s="92"/>
      <c r="O526" s="92"/>
      <c r="P526" s="92"/>
      <c r="Q526" s="92"/>
      <c r="R526" s="92"/>
      <c r="S526" s="92"/>
      <c r="T526" s="92"/>
      <c r="U526" s="92"/>
      <c r="V526" s="92"/>
      <c r="W526" s="92"/>
      <c r="X526" s="92"/>
      <c r="Y526" s="92"/>
      <c r="Z526" s="92"/>
    </row>
    <row r="527" spans="1:26" hidden="1">
      <c r="A527" s="92"/>
      <c r="B527" s="92"/>
      <c r="C527" s="92"/>
      <c r="D527" s="92"/>
      <c r="E527" s="92"/>
      <c r="F527" s="92"/>
      <c r="G527" s="92"/>
      <c r="H527" s="92"/>
      <c r="I527" s="92"/>
      <c r="J527" s="92"/>
      <c r="K527" s="92"/>
      <c r="L527" s="92"/>
      <c r="M527" s="92"/>
      <c r="N527" s="92"/>
      <c r="O527" s="92"/>
      <c r="P527" s="92"/>
      <c r="Q527" s="92"/>
      <c r="R527" s="92"/>
      <c r="S527" s="92"/>
      <c r="T527" s="92"/>
      <c r="U527" s="92"/>
      <c r="V527" s="92"/>
      <c r="W527" s="92"/>
      <c r="X527" s="92"/>
      <c r="Y527" s="92"/>
      <c r="Z527" s="92"/>
    </row>
    <row r="528" spans="1:26" hidden="1">
      <c r="A528" s="92"/>
      <c r="B528" s="92"/>
      <c r="C528" s="92"/>
      <c r="D528" s="92"/>
      <c r="E528" s="92"/>
      <c r="F528" s="92"/>
      <c r="G528" s="92"/>
      <c r="H528" s="92"/>
      <c r="I528" s="92"/>
      <c r="J528" s="92"/>
      <c r="K528" s="92"/>
      <c r="L528" s="92"/>
      <c r="M528" s="92"/>
      <c r="N528" s="92"/>
      <c r="O528" s="92"/>
      <c r="P528" s="92"/>
      <c r="Q528" s="92"/>
      <c r="R528" s="92"/>
      <c r="S528" s="92"/>
      <c r="T528" s="92"/>
      <c r="U528" s="92"/>
      <c r="V528" s="92"/>
      <c r="W528" s="92"/>
      <c r="X528" s="92"/>
      <c r="Y528" s="92"/>
      <c r="Z528" s="92"/>
    </row>
    <row r="529" spans="1:26" hidden="1">
      <c r="A529" s="92"/>
      <c r="B529" s="92"/>
      <c r="C529" s="92"/>
      <c r="D529" s="92"/>
      <c r="E529" s="92"/>
      <c r="F529" s="92"/>
      <c r="G529" s="92"/>
      <c r="H529" s="92"/>
      <c r="I529" s="92"/>
      <c r="J529" s="92"/>
      <c r="K529" s="92"/>
      <c r="L529" s="92"/>
      <c r="M529" s="92"/>
      <c r="N529" s="92"/>
      <c r="O529" s="92"/>
      <c r="P529" s="92"/>
      <c r="Q529" s="92"/>
      <c r="R529" s="92"/>
      <c r="S529" s="92"/>
      <c r="T529" s="92"/>
      <c r="U529" s="92"/>
      <c r="V529" s="92"/>
      <c r="W529" s="92"/>
      <c r="X529" s="92"/>
      <c r="Y529" s="92"/>
      <c r="Z529" s="92"/>
    </row>
    <row r="530" spans="1:26" hidden="1">
      <c r="A530" s="92"/>
      <c r="B530" s="92"/>
      <c r="C530" s="92"/>
      <c r="D530" s="92"/>
      <c r="E530" s="92"/>
      <c r="F530" s="92"/>
      <c r="G530" s="92"/>
      <c r="H530" s="92"/>
      <c r="I530" s="92"/>
      <c r="J530" s="92"/>
      <c r="K530" s="92"/>
      <c r="L530" s="92"/>
      <c r="M530" s="92"/>
      <c r="N530" s="92"/>
      <c r="O530" s="92"/>
      <c r="P530" s="92"/>
      <c r="Q530" s="92"/>
      <c r="R530" s="92"/>
      <c r="S530" s="92"/>
      <c r="T530" s="92"/>
      <c r="U530" s="92"/>
      <c r="V530" s="92"/>
      <c r="W530" s="92"/>
      <c r="X530" s="92"/>
      <c r="Y530" s="92"/>
      <c r="Z530" s="92"/>
    </row>
    <row r="531" spans="1:26" hidden="1">
      <c r="A531" s="92"/>
      <c r="B531" s="92"/>
      <c r="C531" s="92"/>
      <c r="D531" s="92"/>
      <c r="E531" s="92"/>
      <c r="F531" s="92"/>
      <c r="G531" s="92"/>
      <c r="H531" s="92"/>
      <c r="I531" s="92"/>
      <c r="J531" s="92"/>
      <c r="K531" s="92"/>
      <c r="L531" s="92"/>
      <c r="M531" s="92"/>
      <c r="N531" s="92"/>
      <c r="O531" s="92"/>
      <c r="P531" s="92"/>
      <c r="Q531" s="92"/>
      <c r="R531" s="92"/>
      <c r="S531" s="92"/>
      <c r="T531" s="92"/>
      <c r="U531" s="92"/>
      <c r="V531" s="92"/>
      <c r="W531" s="92"/>
      <c r="X531" s="92"/>
      <c r="Y531" s="92"/>
      <c r="Z531" s="92"/>
    </row>
    <row r="532" spans="1:26" hidden="1">
      <c r="A532" s="92"/>
      <c r="B532" s="92"/>
      <c r="C532" s="92"/>
      <c r="D532" s="92"/>
      <c r="E532" s="92"/>
      <c r="F532" s="92"/>
      <c r="G532" s="92"/>
      <c r="H532" s="92"/>
      <c r="I532" s="92"/>
      <c r="J532" s="92"/>
      <c r="K532" s="92"/>
      <c r="L532" s="92"/>
      <c r="M532" s="92"/>
      <c r="N532" s="92"/>
      <c r="O532" s="92"/>
      <c r="P532" s="92"/>
      <c r="Q532" s="92"/>
      <c r="R532" s="92"/>
      <c r="S532" s="92"/>
      <c r="T532" s="92"/>
      <c r="U532" s="92"/>
      <c r="V532" s="92"/>
      <c r="W532" s="92"/>
      <c r="X532" s="92"/>
      <c r="Y532" s="92"/>
      <c r="Z532" s="92"/>
    </row>
    <row r="533" spans="1:26" hidden="1">
      <c r="A533" s="92"/>
      <c r="B533" s="92"/>
      <c r="C533" s="92"/>
      <c r="D533" s="92"/>
      <c r="E533" s="92"/>
      <c r="F533" s="92"/>
      <c r="G533" s="92"/>
      <c r="H533" s="92"/>
      <c r="I533" s="92"/>
      <c r="J533" s="92"/>
      <c r="K533" s="92"/>
      <c r="L533" s="92"/>
      <c r="M533" s="92"/>
      <c r="N533" s="92"/>
      <c r="O533" s="92"/>
      <c r="P533" s="92"/>
      <c r="Q533" s="92"/>
      <c r="R533" s="92"/>
      <c r="S533" s="92"/>
      <c r="T533" s="92"/>
      <c r="U533" s="92"/>
      <c r="V533" s="92"/>
      <c r="W533" s="92"/>
      <c r="X533" s="92"/>
      <c r="Y533" s="92"/>
      <c r="Z533" s="92"/>
    </row>
    <row r="534" spans="1:26" hidden="1">
      <c r="A534" s="92"/>
      <c r="B534" s="92"/>
      <c r="C534" s="92"/>
      <c r="D534" s="92"/>
      <c r="E534" s="92"/>
      <c r="F534" s="92"/>
      <c r="G534" s="92"/>
      <c r="H534" s="92"/>
      <c r="I534" s="92"/>
      <c r="J534" s="92"/>
      <c r="K534" s="92"/>
      <c r="L534" s="92"/>
      <c r="M534" s="92"/>
      <c r="N534" s="92"/>
      <c r="O534" s="92"/>
      <c r="P534" s="92"/>
      <c r="Q534" s="92"/>
      <c r="R534" s="92"/>
      <c r="S534" s="92"/>
      <c r="T534" s="92"/>
      <c r="U534" s="92"/>
      <c r="V534" s="92"/>
      <c r="W534" s="92"/>
      <c r="X534" s="92"/>
      <c r="Y534" s="92"/>
      <c r="Z534" s="92"/>
    </row>
    <row r="535" spans="1:26" hidden="1">
      <c r="A535" s="92"/>
      <c r="B535" s="92"/>
      <c r="C535" s="92"/>
      <c r="D535" s="92"/>
      <c r="E535" s="92"/>
      <c r="F535" s="92"/>
      <c r="G535" s="92"/>
      <c r="H535" s="92"/>
      <c r="I535" s="92"/>
      <c r="J535" s="92"/>
      <c r="K535" s="92"/>
      <c r="L535" s="92"/>
      <c r="M535" s="92"/>
      <c r="N535" s="92"/>
      <c r="O535" s="92"/>
      <c r="P535" s="92"/>
      <c r="Q535" s="92"/>
      <c r="R535" s="92"/>
      <c r="S535" s="92"/>
      <c r="T535" s="92"/>
      <c r="U535" s="92"/>
      <c r="V535" s="92"/>
      <c r="W535" s="92"/>
      <c r="X535" s="92"/>
      <c r="Y535" s="92"/>
      <c r="Z535" s="92"/>
    </row>
    <row r="536" spans="1:26" hidden="1">
      <c r="A536" s="92"/>
      <c r="B536" s="92"/>
      <c r="C536" s="92"/>
      <c r="D536" s="92"/>
      <c r="E536" s="92"/>
      <c r="F536" s="92"/>
      <c r="G536" s="92"/>
      <c r="H536" s="92"/>
      <c r="I536" s="92"/>
      <c r="J536" s="92"/>
      <c r="K536" s="92"/>
      <c r="L536" s="92"/>
      <c r="M536" s="92"/>
      <c r="N536" s="92"/>
      <c r="O536" s="92"/>
      <c r="P536" s="92"/>
      <c r="Q536" s="92"/>
      <c r="R536" s="92"/>
      <c r="S536" s="92"/>
      <c r="T536" s="92"/>
      <c r="U536" s="92"/>
      <c r="V536" s="92"/>
      <c r="W536" s="92"/>
      <c r="X536" s="92"/>
      <c r="Y536" s="92"/>
      <c r="Z536" s="92"/>
    </row>
    <row r="537" spans="1:26" hidden="1">
      <c r="A537" s="92"/>
      <c r="B537" s="92"/>
      <c r="C537" s="92"/>
      <c r="D537" s="92"/>
      <c r="E537" s="92"/>
      <c r="F537" s="92"/>
      <c r="G537" s="92"/>
      <c r="H537" s="92"/>
      <c r="I537" s="92"/>
      <c r="J537" s="92"/>
      <c r="K537" s="92"/>
      <c r="L537" s="92"/>
      <c r="M537" s="92"/>
      <c r="N537" s="92"/>
      <c r="O537" s="92"/>
      <c r="P537" s="92"/>
      <c r="Q537" s="92"/>
      <c r="R537" s="92"/>
      <c r="S537" s="92"/>
      <c r="T537" s="92"/>
      <c r="U537" s="92"/>
      <c r="V537" s="92"/>
      <c r="W537" s="92"/>
      <c r="X537" s="92"/>
      <c r="Y537" s="92"/>
      <c r="Z537" s="92"/>
    </row>
    <row r="538" spans="1:26" hidden="1">
      <c r="A538" s="92"/>
      <c r="B538" s="92"/>
      <c r="C538" s="92"/>
      <c r="D538" s="92"/>
      <c r="E538" s="92"/>
      <c r="F538" s="92"/>
      <c r="G538" s="92"/>
      <c r="H538" s="92"/>
      <c r="I538" s="92"/>
      <c r="J538" s="92"/>
      <c r="K538" s="92"/>
      <c r="L538" s="92"/>
      <c r="M538" s="92"/>
      <c r="N538" s="92"/>
      <c r="O538" s="92"/>
      <c r="P538" s="92"/>
      <c r="Q538" s="92"/>
      <c r="R538" s="92"/>
      <c r="S538" s="92"/>
      <c r="T538" s="92"/>
      <c r="U538" s="92"/>
      <c r="V538" s="92"/>
      <c r="W538" s="92"/>
      <c r="X538" s="92"/>
      <c r="Y538" s="92"/>
      <c r="Z538" s="92"/>
    </row>
    <row r="539" spans="1:26" hidden="1">
      <c r="A539" s="92"/>
      <c r="B539" s="92"/>
      <c r="C539" s="92"/>
      <c r="D539" s="92"/>
      <c r="E539" s="92"/>
      <c r="F539" s="92"/>
      <c r="G539" s="92"/>
      <c r="H539" s="92"/>
      <c r="I539" s="92"/>
      <c r="J539" s="92"/>
      <c r="K539" s="92"/>
      <c r="L539" s="92"/>
      <c r="M539" s="92"/>
      <c r="N539" s="92"/>
      <c r="O539" s="92"/>
      <c r="P539" s="92"/>
      <c r="Q539" s="92"/>
      <c r="R539" s="92"/>
      <c r="S539" s="92"/>
      <c r="T539" s="92"/>
      <c r="U539" s="92"/>
      <c r="V539" s="92"/>
      <c r="W539" s="92"/>
      <c r="X539" s="92"/>
      <c r="Y539" s="92"/>
      <c r="Z539" s="92"/>
    </row>
    <row r="540" spans="1:26" hidden="1">
      <c r="A540" s="92"/>
      <c r="B540" s="92"/>
      <c r="C540" s="92"/>
      <c r="D540" s="92"/>
      <c r="E540" s="92"/>
      <c r="F540" s="92"/>
      <c r="G540" s="92"/>
      <c r="H540" s="92"/>
      <c r="I540" s="92"/>
      <c r="J540" s="92"/>
      <c r="K540" s="92"/>
      <c r="L540" s="92"/>
      <c r="M540" s="92"/>
      <c r="N540" s="92"/>
      <c r="O540" s="92"/>
      <c r="P540" s="92"/>
      <c r="Q540" s="92"/>
      <c r="R540" s="92"/>
      <c r="S540" s="92"/>
      <c r="T540" s="92"/>
      <c r="U540" s="92"/>
      <c r="V540" s="92"/>
      <c r="W540" s="92"/>
      <c r="X540" s="92"/>
      <c r="Y540" s="92"/>
      <c r="Z540" s="92"/>
    </row>
    <row r="541" spans="1:26" hidden="1">
      <c r="A541" s="92"/>
      <c r="B541" s="92"/>
      <c r="C541" s="92"/>
      <c r="D541" s="92"/>
      <c r="E541" s="92"/>
      <c r="F541" s="92"/>
      <c r="G541" s="92"/>
      <c r="H541" s="92"/>
      <c r="I541" s="92"/>
      <c r="J541" s="92"/>
      <c r="K541" s="92"/>
      <c r="L541" s="92"/>
      <c r="M541" s="92"/>
      <c r="N541" s="92"/>
      <c r="O541" s="92"/>
      <c r="P541" s="92"/>
      <c r="Q541" s="92"/>
      <c r="R541" s="92"/>
      <c r="S541" s="92"/>
      <c r="T541" s="92"/>
      <c r="U541" s="92"/>
      <c r="V541" s="92"/>
      <c r="W541" s="92"/>
      <c r="X541" s="92"/>
      <c r="Y541" s="92"/>
      <c r="Z541" s="92"/>
    </row>
    <row r="542" spans="1:26" hidden="1">
      <c r="A542" s="92"/>
      <c r="B542" s="92"/>
      <c r="C542" s="92"/>
      <c r="D542" s="92"/>
      <c r="E542" s="92"/>
      <c r="F542" s="92"/>
      <c r="G542" s="92"/>
      <c r="H542" s="92"/>
      <c r="I542" s="92"/>
      <c r="J542" s="92"/>
      <c r="K542" s="92"/>
      <c r="L542" s="92"/>
      <c r="M542" s="92"/>
      <c r="N542" s="92"/>
      <c r="O542" s="92"/>
      <c r="P542" s="92"/>
      <c r="Q542" s="92"/>
      <c r="R542" s="92"/>
      <c r="S542" s="92"/>
      <c r="T542" s="92"/>
      <c r="U542" s="92"/>
      <c r="V542" s="92"/>
      <c r="W542" s="92"/>
      <c r="X542" s="92"/>
      <c r="Y542" s="92"/>
      <c r="Z542" s="92"/>
    </row>
    <row r="543" spans="1:26" hidden="1">
      <c r="A543" s="92"/>
      <c r="B543" s="92"/>
      <c r="C543" s="92"/>
      <c r="D543" s="92"/>
      <c r="E543" s="92"/>
      <c r="F543" s="92"/>
      <c r="G543" s="92"/>
      <c r="H543" s="92"/>
      <c r="I543" s="92"/>
      <c r="J543" s="92"/>
      <c r="K543" s="92"/>
      <c r="L543" s="92"/>
      <c r="M543" s="92"/>
      <c r="N543" s="92"/>
      <c r="O543" s="92"/>
      <c r="P543" s="92"/>
      <c r="Q543" s="92"/>
      <c r="R543" s="92"/>
      <c r="S543" s="92"/>
      <c r="T543" s="92"/>
      <c r="U543" s="92"/>
      <c r="V543" s="92"/>
      <c r="W543" s="92"/>
      <c r="X543" s="92"/>
      <c r="Y543" s="92"/>
      <c r="Z543" s="92"/>
    </row>
    <row r="544" spans="1:26" hidden="1">
      <c r="A544" s="92"/>
      <c r="B544" s="92"/>
      <c r="C544" s="92"/>
      <c r="D544" s="92"/>
      <c r="E544" s="92"/>
      <c r="F544" s="92"/>
      <c r="G544" s="92"/>
      <c r="H544" s="92"/>
      <c r="I544" s="92"/>
      <c r="J544" s="92"/>
      <c r="K544" s="92"/>
      <c r="L544" s="92"/>
      <c r="M544" s="92"/>
      <c r="N544" s="92"/>
      <c r="O544" s="92"/>
      <c r="P544" s="92"/>
      <c r="Q544" s="92"/>
      <c r="R544" s="92"/>
      <c r="S544" s="92"/>
      <c r="T544" s="92"/>
      <c r="U544" s="92"/>
      <c r="V544" s="92"/>
      <c r="W544" s="92"/>
      <c r="X544" s="92"/>
      <c r="Y544" s="92"/>
      <c r="Z544" s="92"/>
    </row>
    <row r="545" spans="1:26" hidden="1">
      <c r="A545" s="92"/>
      <c r="B545" s="92"/>
      <c r="C545" s="92"/>
      <c r="D545" s="92"/>
      <c r="E545" s="92"/>
      <c r="F545" s="92"/>
      <c r="G545" s="92"/>
      <c r="H545" s="92"/>
      <c r="I545" s="92"/>
      <c r="J545" s="92"/>
      <c r="K545" s="92"/>
      <c r="L545" s="92"/>
      <c r="M545" s="92"/>
      <c r="N545" s="92"/>
      <c r="O545" s="92"/>
      <c r="P545" s="92"/>
      <c r="Q545" s="92"/>
      <c r="R545" s="92"/>
      <c r="S545" s="92"/>
      <c r="T545" s="92"/>
      <c r="U545" s="92"/>
      <c r="V545" s="92"/>
      <c r="W545" s="92"/>
      <c r="X545" s="92"/>
      <c r="Y545" s="92"/>
      <c r="Z545" s="92"/>
    </row>
    <row r="546" spans="1:26" hidden="1">
      <c r="A546" s="92"/>
      <c r="B546" s="92"/>
      <c r="C546" s="92"/>
      <c r="D546" s="92"/>
      <c r="E546" s="92"/>
      <c r="F546" s="92"/>
      <c r="G546" s="92"/>
      <c r="H546" s="92"/>
      <c r="I546" s="92"/>
      <c r="J546" s="92"/>
      <c r="K546" s="92"/>
      <c r="L546" s="92"/>
      <c r="M546" s="92"/>
      <c r="N546" s="92"/>
      <c r="O546" s="92"/>
      <c r="P546" s="92"/>
      <c r="Q546" s="92"/>
      <c r="R546" s="92"/>
      <c r="S546" s="92"/>
      <c r="T546" s="92"/>
      <c r="U546" s="92"/>
      <c r="V546" s="92"/>
      <c r="W546" s="92"/>
      <c r="X546" s="92"/>
      <c r="Y546" s="92"/>
      <c r="Z546" s="92"/>
    </row>
    <row r="547" spans="1:26" hidden="1">
      <c r="A547" s="92"/>
      <c r="B547" s="92"/>
      <c r="C547" s="92"/>
      <c r="D547" s="92"/>
      <c r="E547" s="92"/>
      <c r="F547" s="92"/>
      <c r="G547" s="92"/>
      <c r="H547" s="92"/>
      <c r="I547" s="92"/>
      <c r="J547" s="92"/>
      <c r="K547" s="92"/>
      <c r="L547" s="92"/>
      <c r="M547" s="92"/>
      <c r="N547" s="92"/>
      <c r="O547" s="92"/>
      <c r="P547" s="92"/>
      <c r="Q547" s="92"/>
      <c r="R547" s="92"/>
      <c r="S547" s="92"/>
      <c r="T547" s="92"/>
      <c r="U547" s="92"/>
      <c r="V547" s="92"/>
      <c r="W547" s="92"/>
      <c r="X547" s="92"/>
      <c r="Y547" s="92"/>
      <c r="Z547" s="92"/>
    </row>
    <row r="548" spans="1:26" hidden="1">
      <c r="A548" s="92"/>
      <c r="B548" s="92"/>
      <c r="C548" s="92"/>
      <c r="D548" s="92"/>
      <c r="E548" s="92"/>
      <c r="F548" s="92"/>
      <c r="G548" s="92"/>
      <c r="H548" s="92"/>
      <c r="I548" s="92"/>
      <c r="J548" s="92"/>
      <c r="K548" s="92"/>
      <c r="L548" s="92"/>
      <c r="M548" s="92"/>
      <c r="N548" s="92"/>
      <c r="O548" s="92"/>
      <c r="P548" s="92"/>
      <c r="Q548" s="92"/>
      <c r="R548" s="92"/>
      <c r="S548" s="92"/>
      <c r="T548" s="92"/>
      <c r="U548" s="92"/>
      <c r="V548" s="92"/>
      <c r="W548" s="92"/>
      <c r="X548" s="92"/>
      <c r="Y548" s="92"/>
      <c r="Z548" s="92"/>
    </row>
    <row r="549" spans="1:26" hidden="1">
      <c r="A549" s="92"/>
      <c r="B549" s="92"/>
      <c r="C549" s="92"/>
      <c r="D549" s="92"/>
      <c r="E549" s="92"/>
      <c r="F549" s="92"/>
      <c r="G549" s="92"/>
      <c r="H549" s="92"/>
      <c r="I549" s="92"/>
      <c r="J549" s="92"/>
      <c r="K549" s="92"/>
      <c r="L549" s="92"/>
      <c r="M549" s="92"/>
      <c r="N549" s="92"/>
      <c r="O549" s="92"/>
      <c r="P549" s="92"/>
      <c r="Q549" s="92"/>
      <c r="R549" s="92"/>
      <c r="S549" s="92"/>
      <c r="T549" s="92"/>
      <c r="U549" s="92"/>
      <c r="V549" s="92"/>
      <c r="W549" s="92"/>
      <c r="X549" s="92"/>
      <c r="Y549" s="92"/>
      <c r="Z549" s="92"/>
    </row>
    <row r="550" spans="1:26" hidden="1">
      <c r="A550" s="92"/>
      <c r="B550" s="92"/>
      <c r="C550" s="92"/>
      <c r="D550" s="92"/>
      <c r="E550" s="92"/>
      <c r="F550" s="92"/>
      <c r="G550" s="92"/>
      <c r="H550" s="92"/>
      <c r="I550" s="92"/>
      <c r="J550" s="92"/>
      <c r="K550" s="92"/>
      <c r="L550" s="92"/>
      <c r="M550" s="92"/>
      <c r="N550" s="92"/>
      <c r="O550" s="92"/>
      <c r="P550" s="92"/>
      <c r="Q550" s="92"/>
      <c r="R550" s="92"/>
      <c r="S550" s="92"/>
      <c r="T550" s="92"/>
      <c r="U550" s="92"/>
      <c r="V550" s="92"/>
      <c r="W550" s="92"/>
      <c r="X550" s="92"/>
      <c r="Y550" s="92"/>
      <c r="Z550" s="92"/>
    </row>
    <row r="551" spans="1:26" hidden="1">
      <c r="A551" s="92"/>
      <c r="B551" s="92"/>
      <c r="C551" s="92"/>
      <c r="D551" s="92"/>
      <c r="E551" s="92"/>
      <c r="F551" s="92"/>
      <c r="G551" s="92"/>
      <c r="H551" s="92"/>
      <c r="I551" s="92"/>
      <c r="J551" s="92"/>
      <c r="K551" s="92"/>
      <c r="L551" s="92"/>
      <c r="M551" s="92"/>
      <c r="N551" s="92"/>
      <c r="O551" s="92"/>
      <c r="P551" s="92"/>
      <c r="Q551" s="92"/>
      <c r="R551" s="92"/>
      <c r="S551" s="92"/>
      <c r="T551" s="92"/>
      <c r="U551" s="92"/>
      <c r="V551" s="92"/>
      <c r="W551" s="92"/>
      <c r="X551" s="92"/>
      <c r="Y551" s="92"/>
      <c r="Z551" s="92"/>
    </row>
    <row r="552" spans="1:26" hidden="1">
      <c r="A552" s="92"/>
      <c r="B552" s="92"/>
      <c r="C552" s="92"/>
      <c r="D552" s="92"/>
      <c r="E552" s="92"/>
      <c r="F552" s="92"/>
      <c r="G552" s="92"/>
      <c r="H552" s="92"/>
      <c r="I552" s="92"/>
      <c r="J552" s="92"/>
      <c r="K552" s="92"/>
      <c r="L552" s="92"/>
      <c r="M552" s="92"/>
      <c r="N552" s="92"/>
      <c r="O552" s="92"/>
      <c r="P552" s="92"/>
      <c r="Q552" s="92"/>
      <c r="R552" s="92"/>
      <c r="S552" s="92"/>
      <c r="T552" s="92"/>
      <c r="U552" s="92"/>
      <c r="V552" s="92"/>
      <c r="W552" s="92"/>
      <c r="X552" s="92"/>
      <c r="Y552" s="92"/>
      <c r="Z552" s="92"/>
    </row>
    <row r="553" spans="1:26" hidden="1">
      <c r="A553" s="92"/>
      <c r="B553" s="92"/>
      <c r="C553" s="92"/>
      <c r="D553" s="92"/>
      <c r="E553" s="92"/>
      <c r="F553" s="92"/>
      <c r="G553" s="92"/>
      <c r="H553" s="92"/>
      <c r="I553" s="92"/>
      <c r="J553" s="92"/>
      <c r="K553" s="92"/>
      <c r="L553" s="92"/>
      <c r="M553" s="92"/>
      <c r="N553" s="92"/>
      <c r="O553" s="92"/>
      <c r="P553" s="92"/>
      <c r="Q553" s="92"/>
      <c r="R553" s="92"/>
      <c r="S553" s="92"/>
      <c r="T553" s="92"/>
      <c r="U553" s="92"/>
      <c r="V553" s="92"/>
      <c r="W553" s="92"/>
      <c r="X553" s="92"/>
      <c r="Y553" s="92"/>
      <c r="Z553" s="92"/>
    </row>
    <row r="554" spans="1:26" hidden="1">
      <c r="A554" s="92"/>
      <c r="B554" s="92"/>
      <c r="C554" s="92"/>
      <c r="D554" s="92"/>
      <c r="E554" s="92"/>
      <c r="F554" s="92"/>
      <c r="G554" s="92"/>
      <c r="H554" s="92"/>
      <c r="I554" s="92"/>
      <c r="J554" s="92"/>
      <c r="K554" s="92"/>
      <c r="L554" s="92"/>
      <c r="M554" s="92"/>
      <c r="N554" s="92"/>
      <c r="O554" s="92"/>
      <c r="P554" s="92"/>
      <c r="Q554" s="92"/>
      <c r="R554" s="92"/>
      <c r="S554" s="92"/>
      <c r="T554" s="92"/>
      <c r="U554" s="92"/>
      <c r="V554" s="92"/>
      <c r="W554" s="92"/>
      <c r="X554" s="92"/>
      <c r="Y554" s="92"/>
      <c r="Z554" s="92"/>
    </row>
    <row r="555" spans="1:26" hidden="1">
      <c r="A555" s="92"/>
      <c r="B555" s="92"/>
      <c r="C555" s="92"/>
      <c r="D555" s="92"/>
      <c r="E555" s="92"/>
      <c r="F555" s="92"/>
      <c r="G555" s="92"/>
      <c r="H555" s="92"/>
      <c r="I555" s="92"/>
      <c r="J555" s="92"/>
      <c r="K555" s="92"/>
      <c r="L555" s="92"/>
      <c r="M555" s="92"/>
      <c r="N555" s="92"/>
      <c r="O555" s="92"/>
      <c r="P555" s="92"/>
      <c r="Q555" s="92"/>
      <c r="R555" s="92"/>
      <c r="S555" s="92"/>
      <c r="T555" s="92"/>
      <c r="U555" s="92"/>
      <c r="V555" s="92"/>
      <c r="W555" s="92"/>
      <c r="X555" s="92"/>
      <c r="Y555" s="92"/>
      <c r="Z555" s="92"/>
    </row>
    <row r="556" spans="1:26" hidden="1">
      <c r="A556" s="92"/>
      <c r="B556" s="92"/>
      <c r="C556" s="92"/>
      <c r="D556" s="92"/>
      <c r="E556" s="92"/>
      <c r="F556" s="92"/>
      <c r="G556" s="92"/>
      <c r="H556" s="92"/>
      <c r="I556" s="92"/>
      <c r="J556" s="92"/>
      <c r="K556" s="92"/>
      <c r="L556" s="92"/>
      <c r="M556" s="92"/>
      <c r="N556" s="92"/>
      <c r="O556" s="92"/>
      <c r="P556" s="92"/>
      <c r="Q556" s="92"/>
      <c r="R556" s="92"/>
      <c r="S556" s="92"/>
      <c r="T556" s="92"/>
      <c r="U556" s="92"/>
      <c r="V556" s="92"/>
      <c r="W556" s="92"/>
      <c r="X556" s="92"/>
      <c r="Y556" s="92"/>
      <c r="Z556" s="92"/>
    </row>
    <row r="557" spans="1:26" hidden="1">
      <c r="A557" s="92"/>
      <c r="B557" s="92"/>
      <c r="C557" s="92"/>
      <c r="D557" s="92"/>
      <c r="E557" s="92"/>
      <c r="F557" s="92"/>
      <c r="G557" s="92"/>
      <c r="H557" s="92"/>
      <c r="I557" s="92"/>
      <c r="J557" s="92"/>
      <c r="K557" s="92"/>
      <c r="L557" s="92"/>
      <c r="M557" s="92"/>
      <c r="N557" s="92"/>
      <c r="O557" s="92"/>
      <c r="P557" s="92"/>
      <c r="Q557" s="92"/>
      <c r="R557" s="92"/>
      <c r="S557" s="92"/>
      <c r="T557" s="92"/>
      <c r="U557" s="92"/>
      <c r="V557" s="92"/>
      <c r="W557" s="92"/>
      <c r="X557" s="92"/>
      <c r="Y557" s="92"/>
      <c r="Z557" s="92"/>
    </row>
    <row r="558" spans="1:26" hidden="1">
      <c r="A558" s="92"/>
      <c r="B558" s="92"/>
      <c r="C558" s="92"/>
      <c r="D558" s="92"/>
      <c r="E558" s="92"/>
      <c r="F558" s="92"/>
      <c r="G558" s="92"/>
      <c r="H558" s="92"/>
      <c r="I558" s="92"/>
      <c r="J558" s="92"/>
      <c r="K558" s="92"/>
      <c r="L558" s="92"/>
      <c r="M558" s="92"/>
      <c r="N558" s="92"/>
      <c r="O558" s="92"/>
      <c r="P558" s="92"/>
      <c r="Q558" s="92"/>
      <c r="R558" s="92"/>
      <c r="S558" s="92"/>
      <c r="T558" s="92"/>
      <c r="U558" s="92"/>
      <c r="V558" s="92"/>
      <c r="W558" s="92"/>
      <c r="X558" s="92"/>
      <c r="Y558" s="92"/>
      <c r="Z558" s="92"/>
    </row>
    <row r="559" spans="1:26" hidden="1">
      <c r="A559" s="92"/>
      <c r="B559" s="92"/>
      <c r="C559" s="92"/>
      <c r="D559" s="92"/>
      <c r="E559" s="92"/>
      <c r="F559" s="92"/>
      <c r="G559" s="92"/>
      <c r="H559" s="92"/>
      <c r="I559" s="92"/>
      <c r="J559" s="92"/>
      <c r="K559" s="92"/>
      <c r="L559" s="92"/>
      <c r="M559" s="92"/>
      <c r="N559" s="92"/>
      <c r="O559" s="92"/>
      <c r="P559" s="92"/>
      <c r="Q559" s="92"/>
      <c r="R559" s="92"/>
      <c r="S559" s="92"/>
      <c r="T559" s="92"/>
      <c r="U559" s="92"/>
      <c r="V559" s="92"/>
      <c r="W559" s="92"/>
      <c r="X559" s="92"/>
      <c r="Y559" s="92"/>
      <c r="Z559" s="92"/>
    </row>
    <row r="560" spans="1:26" hidden="1">
      <c r="A560" s="92"/>
      <c r="B560" s="92"/>
      <c r="C560" s="92"/>
      <c r="D560" s="92"/>
      <c r="E560" s="92"/>
      <c r="F560" s="92"/>
      <c r="G560" s="92"/>
      <c r="H560" s="92"/>
      <c r="I560" s="92"/>
      <c r="J560" s="92"/>
      <c r="K560" s="92"/>
      <c r="L560" s="92"/>
      <c r="M560" s="92"/>
      <c r="N560" s="92"/>
      <c r="O560" s="92"/>
      <c r="P560" s="92"/>
      <c r="Q560" s="92"/>
      <c r="R560" s="92"/>
      <c r="S560" s="92"/>
      <c r="T560" s="92"/>
      <c r="U560" s="92"/>
      <c r="V560" s="92"/>
      <c r="W560" s="92"/>
      <c r="X560" s="92"/>
      <c r="Y560" s="92"/>
      <c r="Z560" s="92"/>
    </row>
    <row r="561" spans="1:26" hidden="1">
      <c r="A561" s="92"/>
      <c r="B561" s="92"/>
      <c r="C561" s="92"/>
      <c r="D561" s="92"/>
      <c r="E561" s="92"/>
      <c r="F561" s="92"/>
      <c r="G561" s="92"/>
      <c r="H561" s="92"/>
      <c r="I561" s="92"/>
      <c r="J561" s="92"/>
      <c r="K561" s="92"/>
      <c r="L561" s="92"/>
      <c r="M561" s="92"/>
      <c r="N561" s="92"/>
      <c r="O561" s="92"/>
      <c r="P561" s="92"/>
      <c r="Q561" s="92"/>
      <c r="R561" s="92"/>
      <c r="S561" s="92"/>
      <c r="T561" s="92"/>
      <c r="U561" s="92"/>
      <c r="V561" s="92"/>
      <c r="W561" s="92"/>
      <c r="X561" s="92"/>
      <c r="Y561" s="92"/>
      <c r="Z561" s="92"/>
    </row>
    <row r="562" spans="1:26" hidden="1">
      <c r="A562" s="92"/>
      <c r="B562" s="92"/>
      <c r="C562" s="92"/>
      <c r="D562" s="92"/>
      <c r="E562" s="92"/>
      <c r="F562" s="92"/>
      <c r="G562" s="92"/>
      <c r="H562" s="92"/>
      <c r="I562" s="92"/>
      <c r="J562" s="92"/>
      <c r="K562" s="92"/>
      <c r="L562" s="92"/>
      <c r="M562" s="92"/>
      <c r="N562" s="92"/>
      <c r="O562" s="92"/>
      <c r="P562" s="92"/>
      <c r="Q562" s="92"/>
      <c r="R562" s="92"/>
      <c r="S562" s="92"/>
      <c r="T562" s="92"/>
      <c r="U562" s="92"/>
      <c r="V562" s="92"/>
      <c r="W562" s="92"/>
      <c r="X562" s="92"/>
      <c r="Y562" s="92"/>
      <c r="Z562" s="92"/>
    </row>
    <row r="563" spans="1:26" hidden="1">
      <c r="A563" s="92"/>
      <c r="B563" s="92"/>
      <c r="C563" s="92"/>
      <c r="D563" s="92"/>
      <c r="E563" s="92"/>
      <c r="F563" s="92"/>
      <c r="G563" s="92"/>
      <c r="H563" s="92"/>
      <c r="I563" s="92"/>
      <c r="J563" s="92"/>
      <c r="K563" s="92"/>
      <c r="L563" s="92"/>
      <c r="M563" s="92"/>
      <c r="N563" s="92"/>
      <c r="O563" s="92"/>
      <c r="P563" s="92"/>
      <c r="Q563" s="92"/>
      <c r="R563" s="92"/>
      <c r="S563" s="92"/>
      <c r="T563" s="92"/>
      <c r="U563" s="92"/>
      <c r="V563" s="92"/>
      <c r="W563" s="92"/>
      <c r="X563" s="92"/>
      <c r="Y563" s="92"/>
      <c r="Z563" s="92"/>
    </row>
    <row r="564" spans="1:26" hidden="1">
      <c r="A564" s="92"/>
      <c r="B564" s="92"/>
      <c r="C564" s="92"/>
      <c r="D564" s="92"/>
      <c r="E564" s="92"/>
      <c r="F564" s="92"/>
      <c r="G564" s="92"/>
      <c r="H564" s="92"/>
      <c r="I564" s="92"/>
      <c r="J564" s="92"/>
      <c r="K564" s="92"/>
      <c r="L564" s="92"/>
      <c r="M564" s="92"/>
      <c r="N564" s="92"/>
      <c r="O564" s="92"/>
      <c r="P564" s="92"/>
      <c r="Q564" s="92"/>
      <c r="R564" s="92"/>
      <c r="S564" s="92"/>
      <c r="T564" s="92"/>
      <c r="U564" s="92"/>
      <c r="V564" s="92"/>
      <c r="W564" s="92"/>
      <c r="X564" s="92"/>
      <c r="Y564" s="92"/>
      <c r="Z564" s="92"/>
    </row>
    <row r="565" spans="1:26" hidden="1">
      <c r="A565" s="92"/>
      <c r="B565" s="92"/>
      <c r="C565" s="92"/>
      <c r="D565" s="92"/>
      <c r="E565" s="92"/>
      <c r="F565" s="92"/>
      <c r="G565" s="92"/>
      <c r="H565" s="92"/>
      <c r="I565" s="92"/>
      <c r="J565" s="92"/>
      <c r="K565" s="92"/>
      <c r="L565" s="92"/>
      <c r="M565" s="92"/>
      <c r="N565" s="92"/>
      <c r="O565" s="92"/>
      <c r="P565" s="92"/>
      <c r="Q565" s="92"/>
      <c r="R565" s="92"/>
      <c r="S565" s="92"/>
      <c r="T565" s="92"/>
      <c r="U565" s="92"/>
      <c r="V565" s="92"/>
      <c r="W565" s="92"/>
      <c r="X565" s="92"/>
      <c r="Y565" s="92"/>
      <c r="Z565" s="92"/>
    </row>
    <row r="566" spans="1:26" hidden="1">
      <c r="A566" s="92"/>
      <c r="B566" s="92"/>
      <c r="C566" s="92"/>
      <c r="D566" s="92"/>
      <c r="E566" s="92"/>
      <c r="F566" s="92"/>
      <c r="G566" s="92"/>
      <c r="H566" s="92"/>
      <c r="I566" s="92"/>
      <c r="J566" s="92"/>
      <c r="K566" s="92"/>
      <c r="L566" s="92"/>
      <c r="M566" s="92"/>
      <c r="N566" s="92"/>
      <c r="O566" s="92"/>
      <c r="P566" s="92"/>
      <c r="Q566" s="92"/>
      <c r="R566" s="92"/>
      <c r="S566" s="92"/>
      <c r="T566" s="92"/>
      <c r="U566" s="92"/>
      <c r="V566" s="92"/>
      <c r="W566" s="92"/>
      <c r="X566" s="92"/>
      <c r="Y566" s="92"/>
      <c r="Z566" s="92"/>
    </row>
    <row r="567" spans="1:26" hidden="1">
      <c r="A567" s="92"/>
      <c r="B567" s="92"/>
      <c r="C567" s="92"/>
      <c r="D567" s="92"/>
      <c r="E567" s="92"/>
      <c r="F567" s="92"/>
      <c r="G567" s="92"/>
      <c r="H567" s="92"/>
      <c r="I567" s="92"/>
      <c r="J567" s="92"/>
      <c r="K567" s="92"/>
      <c r="L567" s="92"/>
      <c r="M567" s="92"/>
      <c r="N567" s="92"/>
      <c r="O567" s="92"/>
      <c r="P567" s="92"/>
      <c r="Q567" s="92"/>
      <c r="R567" s="92"/>
      <c r="S567" s="92"/>
      <c r="T567" s="92"/>
      <c r="U567" s="92"/>
      <c r="V567" s="92"/>
      <c r="W567" s="92"/>
      <c r="X567" s="92"/>
      <c r="Y567" s="92"/>
      <c r="Z567" s="92"/>
    </row>
    <row r="568" spans="1:26" hidden="1">
      <c r="A568" s="92"/>
      <c r="B568" s="92"/>
      <c r="C568" s="92"/>
      <c r="D568" s="92"/>
      <c r="E568" s="92"/>
      <c r="F568" s="92"/>
      <c r="G568" s="92"/>
      <c r="H568" s="92"/>
      <c r="I568" s="92"/>
      <c r="J568" s="92"/>
      <c r="K568" s="92"/>
      <c r="L568" s="92"/>
      <c r="M568" s="92"/>
      <c r="N568" s="92"/>
      <c r="O568" s="92"/>
      <c r="P568" s="92"/>
      <c r="Q568" s="92"/>
      <c r="R568" s="92"/>
      <c r="S568" s="92"/>
      <c r="T568" s="92"/>
      <c r="U568" s="92"/>
      <c r="V568" s="92"/>
      <c r="W568" s="92"/>
      <c r="X568" s="92"/>
      <c r="Y568" s="92"/>
      <c r="Z568" s="92"/>
    </row>
    <row r="569" spans="1:26" hidden="1">
      <c r="A569" s="92"/>
      <c r="B569" s="92"/>
      <c r="C569" s="92"/>
      <c r="D569" s="92"/>
      <c r="E569" s="92"/>
      <c r="F569" s="92"/>
      <c r="G569" s="92"/>
      <c r="H569" s="92"/>
      <c r="I569" s="92"/>
      <c r="J569" s="92"/>
      <c r="K569" s="92"/>
      <c r="L569" s="92"/>
      <c r="M569" s="92"/>
      <c r="N569" s="92"/>
      <c r="O569" s="92"/>
      <c r="P569" s="92"/>
      <c r="Q569" s="92"/>
      <c r="R569" s="92"/>
      <c r="S569" s="92"/>
      <c r="T569" s="92"/>
      <c r="U569" s="92"/>
      <c r="V569" s="92"/>
      <c r="W569" s="92"/>
      <c r="X569" s="92"/>
      <c r="Y569" s="92"/>
      <c r="Z569" s="92"/>
    </row>
    <row r="570" spans="1:26" hidden="1">
      <c r="A570" s="92"/>
      <c r="B570" s="92"/>
      <c r="C570" s="92"/>
      <c r="D570" s="92"/>
      <c r="E570" s="92"/>
      <c r="F570" s="92"/>
      <c r="G570" s="92"/>
      <c r="H570" s="92"/>
      <c r="I570" s="92"/>
      <c r="J570" s="92"/>
      <c r="K570" s="92"/>
      <c r="L570" s="92"/>
      <c r="M570" s="92"/>
      <c r="N570" s="92"/>
      <c r="O570" s="92"/>
      <c r="P570" s="92"/>
      <c r="Q570" s="92"/>
      <c r="R570" s="92"/>
      <c r="S570" s="92"/>
      <c r="T570" s="92"/>
      <c r="U570" s="92"/>
      <c r="V570" s="92"/>
      <c r="W570" s="92"/>
      <c r="X570" s="92"/>
      <c r="Y570" s="92"/>
      <c r="Z570" s="92"/>
    </row>
    <row r="571" spans="1:26" hidden="1">
      <c r="A571" s="92"/>
      <c r="B571" s="92"/>
      <c r="C571" s="92"/>
      <c r="D571" s="92"/>
      <c r="E571" s="92"/>
      <c r="F571" s="92"/>
      <c r="G571" s="92"/>
      <c r="H571" s="92"/>
      <c r="I571" s="92"/>
      <c r="J571" s="92"/>
      <c r="K571" s="92"/>
      <c r="L571" s="92"/>
      <c r="M571" s="92"/>
      <c r="N571" s="92"/>
      <c r="O571" s="92"/>
      <c r="P571" s="92"/>
      <c r="Q571" s="92"/>
      <c r="R571" s="92"/>
      <c r="S571" s="92"/>
      <c r="T571" s="92"/>
      <c r="U571" s="92"/>
      <c r="V571" s="92"/>
      <c r="W571" s="92"/>
      <c r="X571" s="92"/>
      <c r="Y571" s="92"/>
      <c r="Z571" s="92"/>
    </row>
    <row r="572" spans="1:26" hidden="1">
      <c r="A572" s="92"/>
      <c r="B572" s="92"/>
      <c r="C572" s="92"/>
      <c r="D572" s="92"/>
      <c r="E572" s="92"/>
      <c r="F572" s="92"/>
      <c r="G572" s="92"/>
      <c r="H572" s="92"/>
      <c r="I572" s="92"/>
      <c r="J572" s="92"/>
      <c r="K572" s="92"/>
      <c r="L572" s="92"/>
      <c r="M572" s="92"/>
      <c r="N572" s="92"/>
      <c r="O572" s="92"/>
      <c r="P572" s="92"/>
      <c r="Q572" s="92"/>
      <c r="R572" s="92"/>
      <c r="S572" s="92"/>
      <c r="T572" s="92"/>
      <c r="U572" s="92"/>
      <c r="V572" s="92"/>
      <c r="W572" s="92"/>
      <c r="X572" s="92"/>
      <c r="Y572" s="92"/>
      <c r="Z572" s="92"/>
    </row>
    <row r="573" spans="1:26" hidden="1">
      <c r="A573" s="92"/>
      <c r="B573" s="92"/>
      <c r="C573" s="92"/>
      <c r="D573" s="92"/>
      <c r="E573" s="92"/>
      <c r="F573" s="92"/>
      <c r="G573" s="92"/>
      <c r="H573" s="92"/>
      <c r="I573" s="92"/>
      <c r="J573" s="92"/>
      <c r="K573" s="92"/>
      <c r="L573" s="92"/>
      <c r="M573" s="92"/>
      <c r="N573" s="92"/>
      <c r="O573" s="92"/>
      <c r="P573" s="92"/>
      <c r="Q573" s="92"/>
      <c r="R573" s="92"/>
      <c r="S573" s="92"/>
      <c r="T573" s="92"/>
      <c r="U573" s="92"/>
      <c r="V573" s="92"/>
      <c r="W573" s="92"/>
      <c r="X573" s="92"/>
      <c r="Y573" s="92"/>
      <c r="Z573" s="92"/>
    </row>
    <row r="574" spans="1:26" hidden="1">
      <c r="A574" s="92"/>
      <c r="B574" s="92"/>
      <c r="C574" s="92"/>
      <c r="D574" s="92"/>
      <c r="E574" s="92"/>
      <c r="F574" s="92"/>
      <c r="G574" s="92"/>
      <c r="H574" s="92"/>
      <c r="I574" s="92"/>
      <c r="J574" s="92"/>
      <c r="K574" s="92"/>
      <c r="L574" s="92"/>
      <c r="M574" s="92"/>
      <c r="N574" s="92"/>
      <c r="O574" s="92"/>
      <c r="P574" s="92"/>
      <c r="Q574" s="92"/>
      <c r="R574" s="92"/>
      <c r="S574" s="92"/>
      <c r="T574" s="92"/>
      <c r="U574" s="92"/>
      <c r="V574" s="92"/>
      <c r="W574" s="92"/>
      <c r="X574" s="92"/>
      <c r="Y574" s="92"/>
      <c r="Z574" s="92"/>
    </row>
    <row r="575" spans="1:26" hidden="1">
      <c r="A575" s="92"/>
      <c r="B575" s="92"/>
      <c r="C575" s="92"/>
      <c r="D575" s="92"/>
      <c r="E575" s="92"/>
      <c r="F575" s="92"/>
      <c r="G575" s="92"/>
      <c r="H575" s="92"/>
      <c r="I575" s="92"/>
      <c r="J575" s="92"/>
      <c r="K575" s="92"/>
      <c r="L575" s="92"/>
      <c r="M575" s="92"/>
      <c r="N575" s="92"/>
      <c r="O575" s="92"/>
      <c r="P575" s="92"/>
      <c r="Q575" s="92"/>
      <c r="R575" s="92"/>
      <c r="S575" s="92"/>
      <c r="T575" s="92"/>
      <c r="U575" s="92"/>
      <c r="V575" s="92"/>
      <c r="W575" s="92"/>
      <c r="X575" s="92"/>
      <c r="Y575" s="92"/>
      <c r="Z575" s="92"/>
    </row>
    <row r="576" spans="1:26" hidden="1">
      <c r="A576" s="92"/>
      <c r="B576" s="92"/>
      <c r="C576" s="92"/>
      <c r="D576" s="92"/>
      <c r="E576" s="92"/>
      <c r="F576" s="92"/>
      <c r="G576" s="92"/>
      <c r="H576" s="92"/>
      <c r="I576" s="92"/>
      <c r="J576" s="92"/>
      <c r="K576" s="92"/>
      <c r="L576" s="92"/>
      <c r="M576" s="92"/>
      <c r="N576" s="92"/>
      <c r="O576" s="92"/>
      <c r="P576" s="92"/>
      <c r="Q576" s="92"/>
      <c r="R576" s="92"/>
      <c r="S576" s="92"/>
      <c r="T576" s="92"/>
      <c r="U576" s="92"/>
      <c r="V576" s="92"/>
      <c r="W576" s="92"/>
      <c r="X576" s="92"/>
      <c r="Y576" s="92"/>
      <c r="Z576" s="92"/>
    </row>
    <row r="577" spans="1:26" hidden="1">
      <c r="A577" s="92"/>
      <c r="B577" s="92"/>
      <c r="C577" s="92"/>
      <c r="D577" s="92"/>
      <c r="E577" s="92"/>
      <c r="F577" s="92"/>
      <c r="G577" s="92"/>
      <c r="H577" s="92"/>
      <c r="I577" s="92"/>
      <c r="J577" s="92"/>
      <c r="K577" s="92"/>
      <c r="L577" s="92"/>
      <c r="M577" s="92"/>
      <c r="N577" s="92"/>
      <c r="O577" s="92"/>
      <c r="P577" s="92"/>
      <c r="Q577" s="92"/>
      <c r="R577" s="92"/>
      <c r="S577" s="92"/>
      <c r="T577" s="92"/>
      <c r="U577" s="92"/>
      <c r="V577" s="92"/>
      <c r="W577" s="92"/>
      <c r="X577" s="92"/>
      <c r="Y577" s="92"/>
      <c r="Z577" s="92"/>
    </row>
    <row r="578" spans="1:26" hidden="1">
      <c r="A578" s="92"/>
      <c r="B578" s="92"/>
      <c r="C578" s="92"/>
      <c r="D578" s="92"/>
      <c r="E578" s="92"/>
      <c r="F578" s="92"/>
      <c r="G578" s="92"/>
      <c r="H578" s="92"/>
      <c r="I578" s="92"/>
      <c r="J578" s="92"/>
      <c r="K578" s="92"/>
      <c r="L578" s="92"/>
      <c r="M578" s="92"/>
      <c r="N578" s="92"/>
      <c r="O578" s="92"/>
      <c r="P578" s="92"/>
      <c r="Q578" s="92"/>
      <c r="R578" s="92"/>
      <c r="S578" s="92"/>
      <c r="T578" s="92"/>
      <c r="U578" s="92"/>
      <c r="V578" s="92"/>
      <c r="W578" s="92"/>
      <c r="X578" s="92"/>
      <c r="Y578" s="92"/>
      <c r="Z578" s="92"/>
    </row>
    <row r="579" spans="1:26" hidden="1">
      <c r="A579" s="92"/>
      <c r="B579" s="92"/>
      <c r="C579" s="92"/>
      <c r="D579" s="92"/>
      <c r="E579" s="92"/>
      <c r="F579" s="92"/>
      <c r="G579" s="92"/>
      <c r="H579" s="92"/>
      <c r="I579" s="92"/>
      <c r="J579" s="92"/>
      <c r="K579" s="92"/>
      <c r="L579" s="92"/>
      <c r="M579" s="92"/>
      <c r="N579" s="92"/>
      <c r="O579" s="92"/>
      <c r="P579" s="92"/>
      <c r="Q579" s="92"/>
      <c r="R579" s="92"/>
      <c r="S579" s="92"/>
      <c r="T579" s="92"/>
      <c r="U579" s="92"/>
      <c r="V579" s="92"/>
      <c r="W579" s="92"/>
      <c r="X579" s="92"/>
      <c r="Y579" s="92"/>
      <c r="Z579" s="92"/>
    </row>
    <row r="580" spans="1:26" hidden="1">
      <c r="A580" s="92"/>
      <c r="B580" s="92"/>
      <c r="C580" s="92"/>
      <c r="D580" s="92"/>
      <c r="E580" s="92"/>
      <c r="F580" s="92"/>
      <c r="G580" s="92"/>
      <c r="H580" s="92"/>
      <c r="I580" s="92"/>
      <c r="J580" s="92"/>
      <c r="K580" s="92"/>
      <c r="L580" s="92"/>
      <c r="M580" s="92"/>
      <c r="N580" s="92"/>
      <c r="O580" s="92"/>
      <c r="P580" s="92"/>
      <c r="Q580" s="92"/>
      <c r="R580" s="92"/>
      <c r="S580" s="92"/>
      <c r="T580" s="92"/>
      <c r="U580" s="92"/>
      <c r="V580" s="92"/>
      <c r="W580" s="92"/>
      <c r="X580" s="92"/>
      <c r="Y580" s="92"/>
      <c r="Z580" s="92"/>
    </row>
    <row r="581" spans="1:26" hidden="1">
      <c r="A581" s="92"/>
      <c r="B581" s="92"/>
      <c r="C581" s="92"/>
      <c r="D581" s="92"/>
      <c r="E581" s="92"/>
      <c r="F581" s="92"/>
      <c r="G581" s="92"/>
      <c r="H581" s="92"/>
      <c r="I581" s="92"/>
      <c r="J581" s="92"/>
      <c r="K581" s="92"/>
      <c r="L581" s="92"/>
      <c r="M581" s="92"/>
      <c r="N581" s="92"/>
      <c r="O581" s="92"/>
      <c r="P581" s="92"/>
      <c r="Q581" s="92"/>
      <c r="R581" s="92"/>
      <c r="S581" s="92"/>
      <c r="T581" s="92"/>
      <c r="U581" s="92"/>
      <c r="V581" s="92"/>
      <c r="W581" s="92"/>
      <c r="X581" s="92"/>
      <c r="Y581" s="92"/>
      <c r="Z581" s="92"/>
    </row>
    <row r="582" spans="1:26" hidden="1">
      <c r="A582" s="92"/>
      <c r="B582" s="92"/>
      <c r="C582" s="92"/>
      <c r="D582" s="92"/>
      <c r="E582" s="92"/>
      <c r="F582" s="92"/>
      <c r="G582" s="92"/>
      <c r="H582" s="92"/>
      <c r="I582" s="92"/>
      <c r="J582" s="92"/>
      <c r="K582" s="92"/>
      <c r="L582" s="92"/>
      <c r="M582" s="92"/>
      <c r="N582" s="92"/>
      <c r="O582" s="92"/>
      <c r="P582" s="92"/>
      <c r="Q582" s="92"/>
      <c r="R582" s="92"/>
      <c r="S582" s="92"/>
      <c r="T582" s="92"/>
      <c r="U582" s="92"/>
      <c r="V582" s="92"/>
      <c r="W582" s="92"/>
      <c r="X582" s="92"/>
      <c r="Y582" s="92"/>
      <c r="Z582" s="92"/>
    </row>
    <row r="583" spans="1:26" hidden="1">
      <c r="A583" s="92"/>
      <c r="B583" s="92"/>
      <c r="C583" s="92"/>
      <c r="D583" s="92"/>
      <c r="E583" s="92"/>
      <c r="F583" s="92"/>
      <c r="G583" s="92"/>
      <c r="H583" s="92"/>
      <c r="I583" s="92"/>
      <c r="J583" s="92"/>
      <c r="K583" s="92"/>
      <c r="L583" s="92"/>
      <c r="M583" s="92"/>
      <c r="N583" s="92"/>
      <c r="O583" s="92"/>
      <c r="P583" s="92"/>
      <c r="Q583" s="92"/>
      <c r="R583" s="92"/>
      <c r="S583" s="92"/>
      <c r="T583" s="92"/>
      <c r="U583" s="92"/>
      <c r="V583" s="92"/>
      <c r="W583" s="92"/>
      <c r="X583" s="92"/>
      <c r="Y583" s="92"/>
      <c r="Z583" s="92"/>
    </row>
    <row r="584" spans="1:26" hidden="1">
      <c r="A584" s="92"/>
      <c r="B584" s="92"/>
      <c r="C584" s="92"/>
      <c r="D584" s="92"/>
      <c r="E584" s="92"/>
      <c r="F584" s="92"/>
      <c r="G584" s="92"/>
      <c r="H584" s="92"/>
      <c r="I584" s="92"/>
      <c r="J584" s="92"/>
      <c r="K584" s="92"/>
      <c r="L584" s="92"/>
      <c r="M584" s="92"/>
      <c r="N584" s="92"/>
      <c r="O584" s="92"/>
      <c r="P584" s="92"/>
      <c r="Q584" s="92"/>
      <c r="R584" s="92"/>
      <c r="S584" s="92"/>
      <c r="T584" s="92"/>
      <c r="U584" s="92"/>
      <c r="V584" s="92"/>
      <c r="W584" s="92"/>
      <c r="X584" s="92"/>
      <c r="Y584" s="92"/>
      <c r="Z584" s="92"/>
    </row>
    <row r="585" spans="1:26" hidden="1">
      <c r="A585" s="92"/>
      <c r="B585" s="92"/>
      <c r="C585" s="92"/>
      <c r="D585" s="92"/>
      <c r="E585" s="92"/>
      <c r="F585" s="92"/>
      <c r="G585" s="92"/>
      <c r="H585" s="92"/>
      <c r="I585" s="92"/>
      <c r="J585" s="92"/>
      <c r="K585" s="92"/>
      <c r="L585" s="92"/>
      <c r="M585" s="92"/>
      <c r="N585" s="92"/>
      <c r="O585" s="92"/>
      <c r="P585" s="92"/>
      <c r="Q585" s="92"/>
      <c r="R585" s="92"/>
      <c r="S585" s="92"/>
      <c r="T585" s="92"/>
      <c r="U585" s="92"/>
      <c r="V585" s="92"/>
      <c r="W585" s="92"/>
      <c r="X585" s="92"/>
      <c r="Y585" s="92"/>
      <c r="Z585" s="92"/>
    </row>
    <row r="586" spans="1:26" hidden="1">
      <c r="A586" s="92"/>
      <c r="B586" s="92"/>
      <c r="C586" s="92"/>
      <c r="D586" s="92"/>
      <c r="E586" s="92"/>
      <c r="F586" s="92"/>
      <c r="G586" s="92"/>
      <c r="H586" s="92"/>
      <c r="I586" s="92"/>
      <c r="J586" s="92"/>
      <c r="K586" s="92"/>
      <c r="L586" s="92"/>
      <c r="M586" s="92"/>
      <c r="N586" s="92"/>
      <c r="O586" s="92"/>
      <c r="P586" s="92"/>
      <c r="Q586" s="92"/>
      <c r="R586" s="92"/>
      <c r="S586" s="92"/>
      <c r="T586" s="92"/>
      <c r="U586" s="92"/>
      <c r="V586" s="92"/>
      <c r="W586" s="92"/>
      <c r="X586" s="92"/>
      <c r="Y586" s="92"/>
      <c r="Z586" s="92"/>
    </row>
    <row r="587" spans="1:26" hidden="1">
      <c r="A587" s="92"/>
      <c r="B587" s="92"/>
      <c r="C587" s="92"/>
      <c r="D587" s="92"/>
      <c r="E587" s="92"/>
      <c r="F587" s="92"/>
      <c r="G587" s="92"/>
      <c r="H587" s="92"/>
      <c r="I587" s="92"/>
      <c r="J587" s="92"/>
      <c r="K587" s="92"/>
      <c r="L587" s="92"/>
      <c r="M587" s="92"/>
      <c r="N587" s="92"/>
      <c r="O587" s="92"/>
      <c r="P587" s="92"/>
      <c r="Q587" s="92"/>
      <c r="R587" s="92"/>
      <c r="S587" s="92"/>
      <c r="T587" s="92"/>
      <c r="U587" s="92"/>
      <c r="V587" s="92"/>
      <c r="W587" s="92"/>
      <c r="X587" s="92"/>
      <c r="Y587" s="92"/>
      <c r="Z587" s="92"/>
    </row>
    <row r="588" spans="1:26" hidden="1">
      <c r="A588" s="92"/>
      <c r="B588" s="92"/>
      <c r="C588" s="92"/>
      <c r="D588" s="92"/>
      <c r="E588" s="92"/>
      <c r="F588" s="92"/>
      <c r="G588" s="92"/>
      <c r="H588" s="92"/>
      <c r="I588" s="92"/>
      <c r="J588" s="92"/>
      <c r="K588" s="92"/>
      <c r="L588" s="92"/>
      <c r="M588" s="92"/>
      <c r="N588" s="92"/>
      <c r="O588" s="92"/>
      <c r="P588" s="92"/>
      <c r="Q588" s="92"/>
      <c r="R588" s="92"/>
      <c r="S588" s="92"/>
      <c r="T588" s="92"/>
      <c r="U588" s="92"/>
      <c r="V588" s="92"/>
      <c r="W588" s="92"/>
      <c r="X588" s="92"/>
      <c r="Y588" s="92"/>
      <c r="Z588" s="92"/>
    </row>
    <row r="589" spans="1:26" hidden="1">
      <c r="A589" s="92"/>
      <c r="B589" s="92"/>
      <c r="C589" s="92"/>
      <c r="D589" s="92"/>
      <c r="E589" s="92"/>
      <c r="F589" s="92"/>
      <c r="G589" s="92"/>
      <c r="H589" s="92"/>
      <c r="I589" s="92"/>
      <c r="J589" s="92"/>
      <c r="K589" s="92"/>
      <c r="L589" s="92"/>
      <c r="M589" s="92"/>
      <c r="N589" s="92"/>
      <c r="O589" s="92"/>
      <c r="P589" s="92"/>
      <c r="Q589" s="92"/>
      <c r="R589" s="92"/>
      <c r="S589" s="92"/>
      <c r="T589" s="92"/>
      <c r="U589" s="92"/>
      <c r="V589" s="92"/>
      <c r="W589" s="92"/>
      <c r="X589" s="92"/>
      <c r="Y589" s="92"/>
      <c r="Z589" s="92"/>
    </row>
    <row r="590" spans="1:26" hidden="1">
      <c r="A590" s="92"/>
      <c r="B590" s="92"/>
      <c r="C590" s="92"/>
      <c r="D590" s="92"/>
      <c r="E590" s="92"/>
      <c r="F590" s="92"/>
      <c r="G590" s="92"/>
      <c r="H590" s="92"/>
      <c r="I590" s="92"/>
      <c r="J590" s="92"/>
      <c r="K590" s="92"/>
      <c r="L590" s="92"/>
      <c r="M590" s="92"/>
      <c r="N590" s="92"/>
      <c r="O590" s="92"/>
      <c r="P590" s="92"/>
      <c r="Q590" s="92"/>
      <c r="R590" s="92"/>
      <c r="S590" s="92"/>
      <c r="T590" s="92"/>
      <c r="U590" s="92"/>
      <c r="V590" s="92"/>
      <c r="W590" s="92"/>
      <c r="X590" s="92"/>
      <c r="Y590" s="92"/>
      <c r="Z590" s="92"/>
    </row>
    <row r="591" spans="1:26" hidden="1">
      <c r="A591" s="92"/>
      <c r="B591" s="92"/>
      <c r="C591" s="92"/>
      <c r="D591" s="92"/>
      <c r="E591" s="92"/>
      <c r="F591" s="92"/>
      <c r="G591" s="92"/>
      <c r="H591" s="92"/>
      <c r="I591" s="92"/>
      <c r="J591" s="92"/>
      <c r="K591" s="92"/>
      <c r="L591" s="92"/>
      <c r="M591" s="92"/>
      <c r="N591" s="92"/>
      <c r="O591" s="92"/>
      <c r="P591" s="92"/>
      <c r="Q591" s="92"/>
      <c r="R591" s="92"/>
      <c r="S591" s="92"/>
      <c r="T591" s="92"/>
      <c r="U591" s="92"/>
      <c r="V591" s="92"/>
      <c r="W591" s="92"/>
      <c r="X591" s="92"/>
      <c r="Y591" s="92"/>
      <c r="Z591" s="92"/>
    </row>
    <row r="592" spans="1:26" hidden="1">
      <c r="A592" s="92"/>
      <c r="B592" s="92"/>
      <c r="C592" s="92"/>
      <c r="D592" s="92"/>
      <c r="E592" s="92"/>
      <c r="F592" s="92"/>
      <c r="G592" s="92"/>
      <c r="H592" s="92"/>
      <c r="I592" s="92"/>
      <c r="J592" s="92"/>
      <c r="K592" s="92"/>
      <c r="L592" s="92"/>
      <c r="M592" s="92"/>
      <c r="N592" s="92"/>
      <c r="O592" s="92"/>
      <c r="P592" s="92"/>
      <c r="Q592" s="92"/>
      <c r="R592" s="92"/>
      <c r="S592" s="92"/>
      <c r="T592" s="92"/>
      <c r="U592" s="92"/>
      <c r="V592" s="92"/>
      <c r="W592" s="92"/>
      <c r="X592" s="92"/>
      <c r="Y592" s="92"/>
      <c r="Z592" s="92"/>
    </row>
    <row r="593" spans="1:26" hidden="1">
      <c r="A593" s="92"/>
      <c r="B593" s="92"/>
      <c r="C593" s="92"/>
      <c r="D593" s="92"/>
      <c r="E593" s="92"/>
      <c r="F593" s="92"/>
      <c r="G593" s="92"/>
      <c r="H593" s="92"/>
      <c r="I593" s="92"/>
      <c r="J593" s="92"/>
      <c r="K593" s="92"/>
      <c r="L593" s="92"/>
      <c r="M593" s="92"/>
      <c r="N593" s="92"/>
      <c r="O593" s="92"/>
      <c r="P593" s="92"/>
      <c r="Q593" s="92"/>
      <c r="R593" s="92"/>
      <c r="S593" s="92"/>
      <c r="T593" s="92"/>
      <c r="U593" s="92"/>
      <c r="V593" s="92"/>
      <c r="W593" s="92"/>
      <c r="X593" s="92"/>
      <c r="Y593" s="92"/>
      <c r="Z593" s="92"/>
    </row>
    <row r="594" spans="1:26" hidden="1">
      <c r="A594" s="92"/>
      <c r="B594" s="92"/>
      <c r="C594" s="92"/>
      <c r="D594" s="92"/>
      <c r="E594" s="92"/>
      <c r="F594" s="92"/>
      <c r="G594" s="92"/>
      <c r="H594" s="92"/>
      <c r="I594" s="92"/>
      <c r="J594" s="92"/>
      <c r="K594" s="92"/>
      <c r="L594" s="92"/>
      <c r="M594" s="92"/>
      <c r="N594" s="92"/>
      <c r="O594" s="92"/>
      <c r="P594" s="92"/>
      <c r="Q594" s="92"/>
      <c r="R594" s="92"/>
      <c r="S594" s="92"/>
      <c r="T594" s="92"/>
      <c r="U594" s="92"/>
      <c r="V594" s="92"/>
      <c r="W594" s="92"/>
      <c r="X594" s="92"/>
      <c r="Y594" s="92"/>
      <c r="Z594" s="92"/>
    </row>
    <row r="595" spans="1:26" hidden="1">
      <c r="A595" s="92"/>
      <c r="B595" s="92"/>
      <c r="C595" s="92"/>
      <c r="D595" s="92"/>
      <c r="E595" s="92"/>
      <c r="F595" s="92"/>
      <c r="G595" s="92"/>
      <c r="H595" s="92"/>
      <c r="I595" s="92"/>
      <c r="J595" s="92"/>
      <c r="K595" s="92"/>
      <c r="L595" s="92"/>
      <c r="M595" s="92"/>
      <c r="N595" s="92"/>
      <c r="O595" s="92"/>
      <c r="P595" s="92"/>
      <c r="Q595" s="92"/>
      <c r="R595" s="92"/>
      <c r="S595" s="92"/>
      <c r="T595" s="92"/>
      <c r="U595" s="92"/>
      <c r="V595" s="92"/>
      <c r="W595" s="92"/>
      <c r="X595" s="92"/>
      <c r="Y595" s="92"/>
      <c r="Z595" s="92"/>
    </row>
    <row r="596" spans="1:26" hidden="1">
      <c r="A596" s="92"/>
      <c r="B596" s="92"/>
      <c r="C596" s="92"/>
      <c r="D596" s="92"/>
      <c r="E596" s="92"/>
      <c r="F596" s="92"/>
      <c r="G596" s="92"/>
      <c r="H596" s="92"/>
      <c r="I596" s="92"/>
      <c r="J596" s="92"/>
      <c r="K596" s="92"/>
      <c r="L596" s="92"/>
      <c r="M596" s="92"/>
      <c r="N596" s="92"/>
      <c r="O596" s="92"/>
      <c r="P596" s="92"/>
      <c r="Q596" s="92"/>
      <c r="R596" s="92"/>
      <c r="S596" s="92"/>
      <c r="T596" s="92"/>
      <c r="U596" s="92"/>
      <c r="V596" s="92"/>
      <c r="W596" s="92"/>
      <c r="X596" s="92"/>
      <c r="Y596" s="92"/>
      <c r="Z596" s="92"/>
    </row>
    <row r="597" spans="1:26" hidden="1">
      <c r="A597" s="92"/>
      <c r="B597" s="92"/>
      <c r="C597" s="92"/>
      <c r="D597" s="92"/>
      <c r="E597" s="92"/>
      <c r="F597" s="92"/>
      <c r="G597" s="92"/>
      <c r="H597" s="92"/>
      <c r="I597" s="92"/>
      <c r="J597" s="92"/>
      <c r="K597" s="92"/>
      <c r="L597" s="92"/>
      <c r="M597" s="92"/>
      <c r="N597" s="92"/>
      <c r="O597" s="92"/>
      <c r="P597" s="92"/>
      <c r="Q597" s="92"/>
      <c r="R597" s="92"/>
      <c r="S597" s="92"/>
      <c r="T597" s="92"/>
      <c r="U597" s="92"/>
      <c r="V597" s="92"/>
      <c r="W597" s="92"/>
      <c r="X597" s="92"/>
      <c r="Y597" s="92"/>
      <c r="Z597" s="92"/>
    </row>
    <row r="598" spans="1:26" hidden="1">
      <c r="A598" s="92"/>
      <c r="B598" s="92"/>
      <c r="C598" s="92"/>
      <c r="D598" s="92"/>
      <c r="E598" s="92"/>
      <c r="F598" s="92"/>
      <c r="G598" s="92"/>
      <c r="H598" s="92"/>
      <c r="I598" s="92"/>
      <c r="J598" s="92"/>
      <c r="K598" s="92"/>
      <c r="L598" s="92"/>
      <c r="M598" s="92"/>
      <c r="N598" s="92"/>
      <c r="O598" s="92"/>
      <c r="P598" s="92"/>
      <c r="Q598" s="92"/>
      <c r="R598" s="92"/>
      <c r="S598" s="92"/>
      <c r="T598" s="92"/>
      <c r="U598" s="92"/>
      <c r="V598" s="92"/>
      <c r="W598" s="92"/>
      <c r="X598" s="92"/>
      <c r="Y598" s="92"/>
      <c r="Z598" s="92"/>
    </row>
    <row r="599" spans="1:26" hidden="1">
      <c r="A599" s="92"/>
      <c r="B599" s="92"/>
      <c r="C599" s="92"/>
      <c r="D599" s="92"/>
      <c r="E599" s="92"/>
      <c r="F599" s="92"/>
      <c r="G599" s="92"/>
      <c r="H599" s="92"/>
      <c r="I599" s="92"/>
      <c r="J599" s="92"/>
      <c r="K599" s="92"/>
      <c r="L599" s="92"/>
      <c r="M599" s="92"/>
      <c r="N599" s="92"/>
      <c r="O599" s="92"/>
      <c r="P599" s="92"/>
      <c r="Q599" s="92"/>
      <c r="R599" s="92"/>
      <c r="S599" s="92"/>
      <c r="T599" s="92"/>
      <c r="U599" s="92"/>
      <c r="V599" s="92"/>
      <c r="W599" s="92"/>
      <c r="X599" s="92"/>
      <c r="Y599" s="92"/>
      <c r="Z599" s="92"/>
    </row>
    <row r="600" spans="1:26" hidden="1">
      <c r="A600" s="92"/>
      <c r="B600" s="92"/>
      <c r="C600" s="92"/>
      <c r="D600" s="92"/>
      <c r="E600" s="92"/>
      <c r="F600" s="92"/>
      <c r="G600" s="92"/>
      <c r="H600" s="92"/>
      <c r="I600" s="92"/>
      <c r="J600" s="92"/>
      <c r="K600" s="92"/>
      <c r="L600" s="92"/>
      <c r="M600" s="92"/>
      <c r="N600" s="92"/>
      <c r="O600" s="92"/>
      <c r="P600" s="92"/>
      <c r="Q600" s="92"/>
      <c r="R600" s="92"/>
      <c r="S600" s="92"/>
      <c r="T600" s="92"/>
      <c r="U600" s="92"/>
      <c r="V600" s="92"/>
      <c r="W600" s="92"/>
      <c r="X600" s="92"/>
      <c r="Y600" s="92"/>
      <c r="Z600" s="92"/>
    </row>
    <row r="601" spans="1:26" hidden="1">
      <c r="A601" s="92"/>
      <c r="B601" s="92"/>
      <c r="C601" s="92"/>
      <c r="D601" s="92"/>
      <c r="E601" s="92"/>
      <c r="F601" s="92"/>
      <c r="G601" s="92"/>
      <c r="H601" s="92"/>
      <c r="I601" s="92"/>
      <c r="J601" s="92"/>
      <c r="K601" s="92"/>
      <c r="L601" s="92"/>
      <c r="M601" s="92"/>
      <c r="N601" s="92"/>
      <c r="O601" s="92"/>
      <c r="P601" s="92"/>
      <c r="Q601" s="92"/>
      <c r="R601" s="92"/>
      <c r="S601" s="92"/>
      <c r="T601" s="92"/>
      <c r="U601" s="92"/>
      <c r="V601" s="92"/>
      <c r="W601" s="92"/>
      <c r="X601" s="92"/>
      <c r="Y601" s="92"/>
      <c r="Z601" s="92"/>
    </row>
    <row r="602" spans="1:26" hidden="1">
      <c r="A602" s="92"/>
      <c r="B602" s="92"/>
      <c r="C602" s="92"/>
      <c r="D602" s="92"/>
      <c r="E602" s="92"/>
      <c r="F602" s="92"/>
      <c r="G602" s="92"/>
      <c r="H602" s="92"/>
      <c r="I602" s="92"/>
      <c r="J602" s="92"/>
      <c r="K602" s="92"/>
      <c r="L602" s="92"/>
      <c r="M602" s="92"/>
      <c r="N602" s="92"/>
      <c r="O602" s="92"/>
      <c r="P602" s="92"/>
      <c r="Q602" s="92"/>
      <c r="R602" s="92"/>
      <c r="S602" s="92"/>
      <c r="T602" s="92"/>
      <c r="U602" s="92"/>
      <c r="V602" s="92"/>
      <c r="W602" s="92"/>
      <c r="X602" s="92"/>
      <c r="Y602" s="92"/>
      <c r="Z602" s="92"/>
    </row>
    <row r="603" spans="1:26" hidden="1">
      <c r="A603" s="92"/>
      <c r="B603" s="92"/>
      <c r="C603" s="92"/>
      <c r="D603" s="92"/>
      <c r="E603" s="92"/>
      <c r="F603" s="92"/>
      <c r="G603" s="92"/>
      <c r="H603" s="92"/>
      <c r="I603" s="92"/>
      <c r="J603" s="92"/>
      <c r="K603" s="92"/>
      <c r="L603" s="92"/>
      <c r="M603" s="92"/>
      <c r="N603" s="92"/>
      <c r="O603" s="92"/>
      <c r="P603" s="92"/>
      <c r="Q603" s="92"/>
      <c r="R603" s="92"/>
      <c r="S603" s="92"/>
      <c r="T603" s="92"/>
      <c r="U603" s="92"/>
      <c r="V603" s="92"/>
      <c r="W603" s="92"/>
      <c r="X603" s="92"/>
      <c r="Y603" s="92"/>
      <c r="Z603" s="92"/>
    </row>
    <row r="604" spans="1:26" hidden="1">
      <c r="A604" s="92"/>
      <c r="B604" s="92"/>
      <c r="C604" s="92"/>
      <c r="D604" s="92"/>
      <c r="E604" s="92"/>
      <c r="F604" s="92"/>
      <c r="G604" s="92"/>
      <c r="H604" s="92"/>
      <c r="I604" s="92"/>
      <c r="J604" s="92"/>
      <c r="K604" s="92"/>
      <c r="L604" s="92"/>
      <c r="M604" s="92"/>
      <c r="N604" s="92"/>
      <c r="O604" s="92"/>
      <c r="P604" s="92"/>
      <c r="Q604" s="92"/>
      <c r="R604" s="92"/>
      <c r="S604" s="92"/>
      <c r="T604" s="92"/>
      <c r="U604" s="92"/>
      <c r="V604" s="92"/>
      <c r="W604" s="92"/>
      <c r="X604" s="92"/>
      <c r="Y604" s="92"/>
      <c r="Z604" s="92"/>
    </row>
    <row r="605" spans="1:26" hidden="1">
      <c r="A605" s="92"/>
      <c r="B605" s="92"/>
      <c r="C605" s="92"/>
      <c r="D605" s="92"/>
      <c r="E605" s="92"/>
      <c r="F605" s="92"/>
      <c r="G605" s="92"/>
      <c r="H605" s="92"/>
      <c r="I605" s="92"/>
      <c r="J605" s="92"/>
      <c r="K605" s="92"/>
      <c r="L605" s="92"/>
      <c r="M605" s="92"/>
      <c r="N605" s="92"/>
      <c r="O605" s="92"/>
      <c r="P605" s="92"/>
      <c r="Q605" s="92"/>
      <c r="R605" s="92"/>
      <c r="S605" s="92"/>
      <c r="T605" s="92"/>
      <c r="U605" s="92"/>
      <c r="V605" s="92"/>
      <c r="W605" s="92"/>
      <c r="X605" s="92"/>
      <c r="Y605" s="92"/>
      <c r="Z605" s="92"/>
    </row>
    <row r="606" spans="1:26" hidden="1">
      <c r="A606" s="92"/>
      <c r="B606" s="92"/>
      <c r="C606" s="92"/>
      <c r="D606" s="92"/>
      <c r="E606" s="92"/>
      <c r="F606" s="92"/>
      <c r="G606" s="92"/>
      <c r="H606" s="92"/>
      <c r="I606" s="92"/>
      <c r="J606" s="92"/>
      <c r="K606" s="92"/>
      <c r="L606" s="92"/>
      <c r="M606" s="92"/>
      <c r="N606" s="92"/>
      <c r="O606" s="92"/>
      <c r="P606" s="92"/>
      <c r="Q606" s="92"/>
      <c r="R606" s="92"/>
      <c r="S606" s="92"/>
      <c r="T606" s="92"/>
      <c r="U606" s="92"/>
      <c r="V606" s="92"/>
      <c r="W606" s="92"/>
      <c r="X606" s="92"/>
      <c r="Y606" s="92"/>
      <c r="Z606" s="92"/>
    </row>
    <row r="607" spans="1:26" hidden="1">
      <c r="A607" s="92"/>
      <c r="B607" s="92"/>
      <c r="C607" s="92"/>
      <c r="D607" s="92"/>
      <c r="E607" s="92"/>
      <c r="F607" s="92"/>
      <c r="G607" s="92"/>
      <c r="H607" s="92"/>
      <c r="I607" s="92"/>
      <c r="J607" s="92"/>
      <c r="K607" s="92"/>
      <c r="L607" s="92"/>
      <c r="M607" s="92"/>
      <c r="N607" s="92"/>
      <c r="O607" s="92"/>
      <c r="P607" s="92"/>
      <c r="Q607" s="92"/>
      <c r="R607" s="92"/>
      <c r="S607" s="92"/>
      <c r="T607" s="92"/>
      <c r="U607" s="92"/>
      <c r="V607" s="92"/>
      <c r="W607" s="92"/>
      <c r="X607" s="92"/>
      <c r="Y607" s="92"/>
      <c r="Z607" s="92"/>
    </row>
    <row r="608" spans="1:26" hidden="1">
      <c r="A608" s="92"/>
      <c r="B608" s="92"/>
      <c r="C608" s="92"/>
      <c r="D608" s="92"/>
      <c r="E608" s="92"/>
      <c r="F608" s="92"/>
      <c r="G608" s="92"/>
      <c r="H608" s="92"/>
      <c r="I608" s="92"/>
      <c r="J608" s="92"/>
      <c r="K608" s="92"/>
      <c r="L608" s="92"/>
      <c r="M608" s="92"/>
      <c r="N608" s="92"/>
      <c r="O608" s="92"/>
      <c r="P608" s="92"/>
      <c r="Q608" s="92"/>
      <c r="R608" s="92"/>
      <c r="S608" s="92"/>
      <c r="T608" s="92"/>
      <c r="U608" s="92"/>
      <c r="V608" s="92"/>
      <c r="W608" s="92"/>
      <c r="X608" s="92"/>
      <c r="Y608" s="92"/>
      <c r="Z608" s="92"/>
    </row>
    <row r="609" spans="1:26" hidden="1">
      <c r="A609" s="92"/>
      <c r="B609" s="92"/>
      <c r="C609" s="92"/>
      <c r="D609" s="92"/>
      <c r="E609" s="92"/>
      <c r="F609" s="92"/>
      <c r="G609" s="92"/>
      <c r="H609" s="92"/>
      <c r="I609" s="92"/>
      <c r="J609" s="92"/>
      <c r="K609" s="92"/>
      <c r="L609" s="92"/>
      <c r="M609" s="92"/>
      <c r="N609" s="92"/>
      <c r="O609" s="92"/>
      <c r="P609" s="92"/>
      <c r="Q609" s="92"/>
      <c r="R609" s="92"/>
      <c r="S609" s="92"/>
      <c r="T609" s="92"/>
      <c r="U609" s="92"/>
      <c r="V609" s="92"/>
      <c r="W609" s="92"/>
      <c r="X609" s="92"/>
      <c r="Y609" s="92"/>
      <c r="Z609" s="92"/>
    </row>
    <row r="610" spans="1:26" hidden="1">
      <c r="A610" s="92"/>
      <c r="B610" s="92"/>
      <c r="C610" s="92"/>
      <c r="D610" s="92"/>
      <c r="E610" s="92"/>
      <c r="F610" s="92"/>
      <c r="G610" s="92"/>
      <c r="H610" s="92"/>
      <c r="I610" s="92"/>
      <c r="J610" s="92"/>
      <c r="K610" s="92"/>
      <c r="L610" s="92"/>
      <c r="M610" s="92"/>
      <c r="N610" s="92"/>
      <c r="O610" s="92"/>
      <c r="P610" s="92"/>
      <c r="Q610" s="92"/>
      <c r="R610" s="92"/>
      <c r="S610" s="92"/>
      <c r="T610" s="92"/>
      <c r="U610" s="92"/>
      <c r="V610" s="92"/>
      <c r="W610" s="92"/>
      <c r="X610" s="92"/>
      <c r="Y610" s="92"/>
      <c r="Z610" s="92"/>
    </row>
    <row r="611" spans="1:26" hidden="1">
      <c r="A611" s="92"/>
      <c r="B611" s="92"/>
      <c r="C611" s="92"/>
      <c r="D611" s="92"/>
      <c r="E611" s="92"/>
      <c r="F611" s="92"/>
      <c r="G611" s="92"/>
      <c r="H611" s="92"/>
      <c r="I611" s="92"/>
      <c r="J611" s="92"/>
      <c r="K611" s="92"/>
      <c r="L611" s="92"/>
      <c r="M611" s="92"/>
      <c r="N611" s="92"/>
      <c r="O611" s="92"/>
      <c r="P611" s="92"/>
      <c r="Q611" s="92"/>
      <c r="R611" s="92"/>
      <c r="S611" s="92"/>
      <c r="T611" s="92"/>
      <c r="U611" s="92"/>
      <c r="V611" s="92"/>
      <c r="W611" s="92"/>
      <c r="X611" s="92"/>
      <c r="Y611" s="92"/>
      <c r="Z611" s="92"/>
    </row>
    <row r="612" spans="1:26" hidden="1">
      <c r="A612" s="92"/>
      <c r="B612" s="92"/>
      <c r="C612" s="92"/>
      <c r="D612" s="92"/>
      <c r="E612" s="92"/>
      <c r="F612" s="92"/>
      <c r="G612" s="92"/>
      <c r="H612" s="92"/>
      <c r="I612" s="92"/>
      <c r="J612" s="92"/>
      <c r="K612" s="92"/>
      <c r="L612" s="92"/>
      <c r="M612" s="92"/>
      <c r="N612" s="92"/>
      <c r="O612" s="92"/>
      <c r="P612" s="92"/>
      <c r="Q612" s="92"/>
      <c r="R612" s="92"/>
      <c r="S612" s="92"/>
      <c r="T612" s="92"/>
      <c r="U612" s="92"/>
      <c r="V612" s="92"/>
      <c r="W612" s="92"/>
      <c r="X612" s="92"/>
      <c r="Y612" s="92"/>
      <c r="Z612" s="92"/>
    </row>
    <row r="613" spans="1:26" hidden="1">
      <c r="A613" s="92"/>
      <c r="B613" s="92"/>
      <c r="C613" s="92"/>
      <c r="D613" s="92"/>
      <c r="E613" s="92"/>
      <c r="F613" s="92"/>
      <c r="G613" s="92"/>
      <c r="H613" s="92"/>
      <c r="I613" s="92"/>
      <c r="J613" s="92"/>
      <c r="K613" s="92"/>
      <c r="L613" s="92"/>
      <c r="M613" s="92"/>
      <c r="N613" s="92"/>
      <c r="O613" s="92"/>
      <c r="P613" s="92"/>
      <c r="Q613" s="92"/>
      <c r="R613" s="92"/>
      <c r="S613" s="92"/>
      <c r="T613" s="92"/>
      <c r="U613" s="92"/>
      <c r="V613" s="92"/>
      <c r="W613" s="92"/>
      <c r="X613" s="92"/>
      <c r="Y613" s="92"/>
      <c r="Z613" s="92"/>
    </row>
    <row r="614" spans="1:26" hidden="1">
      <c r="A614" s="92"/>
      <c r="B614" s="92"/>
      <c r="C614" s="92"/>
      <c r="D614" s="92"/>
      <c r="E614" s="92"/>
      <c r="F614" s="92"/>
      <c r="G614" s="92"/>
      <c r="H614" s="92"/>
      <c r="I614" s="92"/>
      <c r="J614" s="92"/>
      <c r="K614" s="92"/>
      <c r="L614" s="92"/>
      <c r="M614" s="92"/>
      <c r="N614" s="92"/>
      <c r="O614" s="92"/>
      <c r="P614" s="92"/>
      <c r="Q614" s="92"/>
      <c r="R614" s="92"/>
      <c r="S614" s="92"/>
      <c r="T614" s="92"/>
      <c r="U614" s="92"/>
      <c r="V614" s="92"/>
      <c r="W614" s="92"/>
      <c r="X614" s="92"/>
      <c r="Y614" s="92"/>
      <c r="Z614" s="92"/>
    </row>
    <row r="615" spans="1:26" hidden="1">
      <c r="A615" s="92"/>
      <c r="B615" s="92"/>
      <c r="C615" s="92"/>
      <c r="D615" s="92"/>
      <c r="E615" s="92"/>
      <c r="F615" s="92"/>
      <c r="G615" s="92"/>
      <c r="H615" s="92"/>
      <c r="I615" s="92"/>
      <c r="J615" s="92"/>
      <c r="K615" s="92"/>
      <c r="L615" s="92"/>
      <c r="M615" s="92"/>
      <c r="N615" s="92"/>
      <c r="O615" s="92"/>
      <c r="P615" s="92"/>
      <c r="Q615" s="92"/>
      <c r="R615" s="92"/>
      <c r="S615" s="92"/>
      <c r="T615" s="92"/>
      <c r="U615" s="92"/>
      <c r="V615" s="92"/>
      <c r="W615" s="92"/>
      <c r="X615" s="92"/>
      <c r="Y615" s="92"/>
      <c r="Z615" s="92"/>
    </row>
    <row r="616" spans="1:26" hidden="1">
      <c r="A616" s="92"/>
      <c r="B616" s="92"/>
      <c r="C616" s="92"/>
      <c r="D616" s="92"/>
      <c r="E616" s="92"/>
      <c r="F616" s="92"/>
      <c r="G616" s="92"/>
      <c r="H616" s="92"/>
      <c r="I616" s="92"/>
      <c r="J616" s="92"/>
      <c r="K616" s="92"/>
      <c r="L616" s="92"/>
      <c r="M616" s="92"/>
      <c r="N616" s="92"/>
      <c r="O616" s="92"/>
      <c r="P616" s="92"/>
      <c r="Q616" s="92"/>
      <c r="R616" s="92"/>
      <c r="S616" s="92"/>
      <c r="T616" s="92"/>
      <c r="U616" s="92"/>
      <c r="V616" s="92"/>
      <c r="W616" s="92"/>
      <c r="X616" s="92"/>
      <c r="Y616" s="92"/>
      <c r="Z616" s="92"/>
    </row>
    <row r="617" spans="1:26" hidden="1">
      <c r="A617" s="92"/>
      <c r="B617" s="92"/>
      <c r="C617" s="92"/>
      <c r="D617" s="92"/>
      <c r="E617" s="92"/>
      <c r="F617" s="92"/>
      <c r="G617" s="92"/>
      <c r="H617" s="92"/>
      <c r="I617" s="92"/>
      <c r="J617" s="92"/>
      <c r="K617" s="92"/>
      <c r="L617" s="92"/>
      <c r="M617" s="92"/>
      <c r="N617" s="92"/>
      <c r="O617" s="92"/>
      <c r="P617" s="92"/>
      <c r="Q617" s="92"/>
      <c r="R617" s="92"/>
      <c r="S617" s="92"/>
      <c r="T617" s="92"/>
      <c r="U617" s="92"/>
      <c r="V617" s="92"/>
      <c r="W617" s="92"/>
      <c r="X617" s="92"/>
      <c r="Y617" s="92"/>
      <c r="Z617" s="92"/>
    </row>
    <row r="618" spans="1:26" hidden="1">
      <c r="A618" s="92"/>
      <c r="B618" s="92"/>
      <c r="C618" s="92"/>
      <c r="D618" s="92"/>
      <c r="E618" s="92"/>
      <c r="F618" s="92"/>
      <c r="G618" s="92"/>
      <c r="H618" s="92"/>
      <c r="I618" s="92"/>
      <c r="J618" s="92"/>
      <c r="K618" s="92"/>
      <c r="L618" s="92"/>
      <c r="M618" s="92"/>
      <c r="N618" s="92"/>
      <c r="O618" s="92"/>
      <c r="P618" s="92"/>
      <c r="Q618" s="92"/>
      <c r="R618" s="92"/>
      <c r="S618" s="92"/>
      <c r="T618" s="92"/>
      <c r="U618" s="92"/>
      <c r="V618" s="92"/>
      <c r="W618" s="92"/>
      <c r="X618" s="92"/>
      <c r="Y618" s="92"/>
      <c r="Z618" s="92"/>
    </row>
    <row r="619" spans="1:26" hidden="1">
      <c r="A619" s="92"/>
      <c r="B619" s="92"/>
      <c r="C619" s="92"/>
      <c r="D619" s="92"/>
      <c r="E619" s="92"/>
      <c r="F619" s="92"/>
      <c r="G619" s="92"/>
      <c r="H619" s="92"/>
      <c r="I619" s="92"/>
      <c r="J619" s="92"/>
      <c r="K619" s="92"/>
      <c r="L619" s="92"/>
      <c r="M619" s="92"/>
      <c r="N619" s="92"/>
      <c r="O619" s="92"/>
      <c r="P619" s="92"/>
      <c r="Q619" s="92"/>
      <c r="R619" s="92"/>
      <c r="S619" s="92"/>
      <c r="T619" s="92"/>
      <c r="U619" s="92"/>
      <c r="V619" s="92"/>
      <c r="W619" s="92"/>
      <c r="X619" s="92"/>
      <c r="Y619" s="92"/>
      <c r="Z619" s="92"/>
    </row>
    <row r="620" spans="1:26" hidden="1">
      <c r="A620" s="92"/>
      <c r="B620" s="92"/>
      <c r="C620" s="92"/>
      <c r="D620" s="92"/>
      <c r="E620" s="92"/>
      <c r="F620" s="92"/>
      <c r="G620" s="92"/>
      <c r="H620" s="92"/>
      <c r="I620" s="92"/>
      <c r="J620" s="92"/>
      <c r="K620" s="92"/>
      <c r="L620" s="92"/>
      <c r="M620" s="92"/>
      <c r="N620" s="92"/>
      <c r="O620" s="92"/>
      <c r="P620" s="92"/>
      <c r="Q620" s="92"/>
      <c r="R620" s="92"/>
      <c r="S620" s="92"/>
      <c r="T620" s="92"/>
      <c r="U620" s="92"/>
      <c r="V620" s="92"/>
      <c r="W620" s="92"/>
      <c r="X620" s="92"/>
      <c r="Y620" s="92"/>
      <c r="Z620" s="92"/>
    </row>
    <row r="621" spans="1:26" hidden="1">
      <c r="A621" s="92"/>
      <c r="B621" s="92"/>
      <c r="C621" s="92"/>
      <c r="D621" s="92"/>
      <c r="E621" s="92"/>
      <c r="F621" s="92"/>
      <c r="G621" s="92"/>
      <c r="H621" s="92"/>
      <c r="I621" s="92"/>
      <c r="J621" s="92"/>
      <c r="K621" s="92"/>
      <c r="L621" s="92"/>
      <c r="M621" s="92"/>
      <c r="N621" s="92"/>
      <c r="O621" s="92"/>
      <c r="P621" s="92"/>
      <c r="Q621" s="92"/>
      <c r="R621" s="92"/>
      <c r="S621" s="92"/>
      <c r="T621" s="92"/>
      <c r="U621" s="92"/>
      <c r="V621" s="92"/>
      <c r="W621" s="92"/>
      <c r="X621" s="92"/>
      <c r="Y621" s="92"/>
      <c r="Z621" s="92"/>
    </row>
    <row r="622" spans="1:26" hidden="1">
      <c r="A622" s="92"/>
      <c r="B622" s="92"/>
      <c r="C622" s="92"/>
      <c r="D622" s="92"/>
      <c r="E622" s="92"/>
      <c r="F622" s="92"/>
      <c r="G622" s="92"/>
      <c r="H622" s="92"/>
      <c r="I622" s="92"/>
      <c r="J622" s="92"/>
      <c r="K622" s="92"/>
      <c r="L622" s="92"/>
      <c r="M622" s="92"/>
      <c r="N622" s="92"/>
      <c r="O622" s="92"/>
      <c r="P622" s="92"/>
      <c r="Q622" s="92"/>
      <c r="R622" s="92"/>
      <c r="S622" s="92"/>
      <c r="T622" s="92"/>
      <c r="U622" s="92"/>
      <c r="V622" s="92"/>
      <c r="W622" s="92"/>
      <c r="X622" s="92"/>
      <c r="Y622" s="92"/>
      <c r="Z622" s="92"/>
    </row>
    <row r="623" spans="1:26" hidden="1">
      <c r="A623" s="92"/>
      <c r="B623" s="92"/>
      <c r="C623" s="92"/>
      <c r="D623" s="92"/>
      <c r="E623" s="92"/>
      <c r="F623" s="92"/>
      <c r="G623" s="92"/>
      <c r="H623" s="92"/>
      <c r="I623" s="92"/>
      <c r="J623" s="92"/>
      <c r="K623" s="92"/>
      <c r="L623" s="92"/>
      <c r="M623" s="92"/>
      <c r="N623" s="92"/>
      <c r="O623" s="92"/>
      <c r="P623" s="92"/>
      <c r="Q623" s="92"/>
      <c r="R623" s="92"/>
      <c r="S623" s="92"/>
      <c r="T623" s="92"/>
      <c r="U623" s="92"/>
      <c r="V623" s="92"/>
      <c r="W623" s="92"/>
      <c r="X623" s="92"/>
      <c r="Y623" s="92"/>
      <c r="Z623" s="92"/>
    </row>
    <row r="624" spans="1:26" hidden="1">
      <c r="A624" s="92"/>
      <c r="B624" s="92"/>
      <c r="C624" s="92"/>
      <c r="D624" s="92"/>
      <c r="E624" s="92"/>
      <c r="F624" s="92"/>
      <c r="G624" s="92"/>
      <c r="H624" s="92"/>
      <c r="I624" s="92"/>
      <c r="J624" s="92"/>
      <c r="K624" s="92"/>
      <c r="L624" s="92"/>
      <c r="M624" s="92"/>
      <c r="N624" s="92"/>
      <c r="O624" s="92"/>
      <c r="P624" s="92"/>
      <c r="Q624" s="92"/>
      <c r="R624" s="92"/>
      <c r="S624" s="92"/>
      <c r="T624" s="92"/>
      <c r="U624" s="92"/>
      <c r="V624" s="92"/>
      <c r="W624" s="92"/>
      <c r="X624" s="92"/>
      <c r="Y624" s="92"/>
      <c r="Z624" s="92"/>
    </row>
    <row r="625" spans="1:26" hidden="1">
      <c r="A625" s="92"/>
      <c r="B625" s="92"/>
      <c r="C625" s="92"/>
      <c r="D625" s="92"/>
      <c r="E625" s="92"/>
      <c r="F625" s="92"/>
      <c r="G625" s="92"/>
      <c r="H625" s="92"/>
      <c r="I625" s="92"/>
      <c r="J625" s="92"/>
      <c r="K625" s="92"/>
      <c r="L625" s="92"/>
      <c r="M625" s="92"/>
      <c r="N625" s="92"/>
      <c r="O625" s="92"/>
      <c r="P625" s="92"/>
      <c r="Q625" s="92"/>
      <c r="R625" s="92"/>
      <c r="S625" s="92"/>
      <c r="T625" s="92"/>
      <c r="U625" s="92"/>
      <c r="V625" s="92"/>
      <c r="W625" s="92"/>
      <c r="X625" s="92"/>
      <c r="Y625" s="92"/>
      <c r="Z625" s="92"/>
    </row>
    <row r="626" spans="1:26" hidden="1">
      <c r="A626" s="92"/>
      <c r="B626" s="92"/>
      <c r="C626" s="92"/>
      <c r="D626" s="92"/>
      <c r="E626" s="92"/>
      <c r="F626" s="92"/>
      <c r="G626" s="92"/>
      <c r="H626" s="92"/>
      <c r="I626" s="92"/>
      <c r="J626" s="92"/>
      <c r="K626" s="92"/>
      <c r="L626" s="92"/>
      <c r="M626" s="92"/>
      <c r="N626" s="92"/>
      <c r="O626" s="92"/>
      <c r="P626" s="92"/>
      <c r="Q626" s="92"/>
      <c r="R626" s="92"/>
      <c r="S626" s="92"/>
      <c r="T626" s="92"/>
      <c r="U626" s="92"/>
      <c r="V626" s="92"/>
      <c r="W626" s="92"/>
      <c r="X626" s="92"/>
      <c r="Y626" s="92"/>
      <c r="Z626" s="92"/>
    </row>
    <row r="627" spans="1:26" hidden="1">
      <c r="A627" s="92"/>
      <c r="B627" s="92"/>
      <c r="C627" s="92"/>
      <c r="D627" s="92"/>
      <c r="E627" s="92"/>
      <c r="F627" s="92"/>
      <c r="G627" s="92"/>
      <c r="H627" s="92"/>
      <c r="I627" s="92"/>
      <c r="J627" s="92"/>
      <c r="K627" s="92"/>
      <c r="L627" s="92"/>
      <c r="M627" s="92"/>
      <c r="N627" s="92"/>
      <c r="O627" s="92"/>
      <c r="P627" s="92"/>
      <c r="Q627" s="92"/>
      <c r="R627" s="92"/>
      <c r="S627" s="92"/>
      <c r="T627" s="92"/>
      <c r="U627" s="92"/>
      <c r="V627" s="92"/>
      <c r="W627" s="92"/>
      <c r="X627" s="92"/>
      <c r="Y627" s="92"/>
      <c r="Z627" s="92"/>
    </row>
    <row r="628" spans="1:26" hidden="1">
      <c r="A628" s="92"/>
      <c r="B628" s="92"/>
      <c r="C628" s="92"/>
      <c r="D628" s="92"/>
      <c r="E628" s="92"/>
      <c r="F628" s="92"/>
      <c r="G628" s="92"/>
      <c r="H628" s="92"/>
      <c r="I628" s="92"/>
      <c r="J628" s="92"/>
      <c r="K628" s="92"/>
      <c r="L628" s="92"/>
      <c r="M628" s="92"/>
      <c r="N628" s="92"/>
      <c r="O628" s="92"/>
      <c r="P628" s="92"/>
      <c r="Q628" s="92"/>
      <c r="R628" s="92"/>
      <c r="S628" s="92"/>
      <c r="T628" s="92"/>
      <c r="U628" s="92"/>
      <c r="V628" s="92"/>
      <c r="W628" s="92"/>
      <c r="X628" s="92"/>
      <c r="Y628" s="92"/>
      <c r="Z628" s="92"/>
    </row>
    <row r="629" spans="1:26" hidden="1">
      <c r="A629" s="92"/>
      <c r="B629" s="92"/>
      <c r="C629" s="92"/>
      <c r="D629" s="92"/>
      <c r="E629" s="92"/>
      <c r="F629" s="92"/>
      <c r="G629" s="92"/>
      <c r="H629" s="92"/>
      <c r="I629" s="92"/>
      <c r="J629" s="92"/>
      <c r="K629" s="92"/>
      <c r="L629" s="92"/>
      <c r="M629" s="92"/>
      <c r="N629" s="92"/>
      <c r="O629" s="92"/>
      <c r="P629" s="92"/>
      <c r="Q629" s="92"/>
      <c r="R629" s="92"/>
      <c r="S629" s="92"/>
      <c r="T629" s="92"/>
      <c r="U629" s="92"/>
      <c r="V629" s="92"/>
      <c r="W629" s="92"/>
      <c r="X629" s="92"/>
      <c r="Y629" s="92"/>
      <c r="Z629" s="92"/>
    </row>
    <row r="630" spans="1:26" hidden="1">
      <c r="A630" s="92"/>
      <c r="B630" s="92"/>
      <c r="C630" s="92"/>
      <c r="D630" s="92"/>
      <c r="E630" s="92"/>
      <c r="F630" s="92"/>
      <c r="G630" s="92"/>
      <c r="H630" s="92"/>
      <c r="I630" s="92"/>
      <c r="J630" s="92"/>
      <c r="K630" s="92"/>
      <c r="L630" s="92"/>
      <c r="M630" s="92"/>
      <c r="N630" s="92"/>
      <c r="O630" s="92"/>
      <c r="P630" s="92"/>
      <c r="Q630" s="92"/>
      <c r="R630" s="92"/>
      <c r="S630" s="92"/>
      <c r="T630" s="92"/>
      <c r="U630" s="92"/>
      <c r="V630" s="92"/>
      <c r="W630" s="92"/>
      <c r="X630" s="92"/>
      <c r="Y630" s="92"/>
      <c r="Z630" s="92"/>
    </row>
    <row r="631" spans="1:26" hidden="1">
      <c r="A631" s="92"/>
      <c r="B631" s="92"/>
      <c r="C631" s="92"/>
      <c r="D631" s="92"/>
      <c r="E631" s="92"/>
      <c r="F631" s="92"/>
      <c r="G631" s="92"/>
      <c r="H631" s="92"/>
      <c r="I631" s="92"/>
      <c r="J631" s="92"/>
      <c r="K631" s="92"/>
      <c r="L631" s="92"/>
      <c r="M631" s="92"/>
      <c r="N631" s="92"/>
      <c r="O631" s="92"/>
      <c r="P631" s="92"/>
      <c r="Q631" s="92"/>
      <c r="R631" s="92"/>
      <c r="S631" s="92"/>
      <c r="T631" s="92"/>
      <c r="U631" s="92"/>
      <c r="V631" s="92"/>
      <c r="W631" s="92"/>
      <c r="X631" s="92"/>
      <c r="Y631" s="92"/>
      <c r="Z631" s="92"/>
    </row>
    <row r="632" spans="1:26" hidden="1">
      <c r="A632" s="92"/>
      <c r="B632" s="92"/>
      <c r="C632" s="92"/>
      <c r="D632" s="92"/>
      <c r="E632" s="92"/>
      <c r="F632" s="92"/>
      <c r="G632" s="92"/>
      <c r="H632" s="92"/>
      <c r="I632" s="92"/>
      <c r="J632" s="92"/>
      <c r="K632" s="92"/>
      <c r="L632" s="92"/>
      <c r="M632" s="92"/>
      <c r="N632" s="92"/>
      <c r="O632" s="92"/>
      <c r="P632" s="92"/>
      <c r="Q632" s="92"/>
      <c r="R632" s="92"/>
      <c r="S632" s="92"/>
      <c r="T632" s="92"/>
      <c r="U632" s="92"/>
      <c r="V632" s="92"/>
      <c r="W632" s="92"/>
      <c r="X632" s="92"/>
      <c r="Y632" s="92"/>
      <c r="Z632" s="92"/>
    </row>
    <row r="633" spans="1:26" hidden="1">
      <c r="A633" s="92"/>
      <c r="B633" s="92"/>
      <c r="C633" s="92"/>
      <c r="D633" s="92"/>
      <c r="E633" s="92"/>
      <c r="F633" s="92"/>
      <c r="G633" s="92"/>
      <c r="H633" s="92"/>
      <c r="I633" s="92"/>
      <c r="J633" s="92"/>
      <c r="K633" s="92"/>
      <c r="L633" s="92"/>
      <c r="M633" s="92"/>
      <c r="N633" s="92"/>
      <c r="O633" s="92"/>
      <c r="P633" s="92"/>
      <c r="Q633" s="92"/>
      <c r="R633" s="92"/>
      <c r="S633" s="92"/>
      <c r="T633" s="92"/>
      <c r="U633" s="92"/>
      <c r="V633" s="92"/>
      <c r="W633" s="92"/>
      <c r="X633" s="92"/>
      <c r="Y633" s="92"/>
      <c r="Z633" s="92"/>
    </row>
    <row r="634" spans="1:26" hidden="1">
      <c r="A634" s="92"/>
      <c r="B634" s="92"/>
      <c r="C634" s="92"/>
      <c r="D634" s="92"/>
      <c r="E634" s="92"/>
      <c r="F634" s="92"/>
      <c r="G634" s="92"/>
      <c r="H634" s="92"/>
      <c r="I634" s="92"/>
      <c r="J634" s="92"/>
      <c r="K634" s="92"/>
      <c r="L634" s="92"/>
      <c r="M634" s="92"/>
      <c r="N634" s="92"/>
      <c r="O634" s="92"/>
      <c r="P634" s="92"/>
      <c r="Q634" s="92"/>
      <c r="R634" s="92"/>
      <c r="S634" s="92"/>
      <c r="T634" s="92"/>
      <c r="U634" s="92"/>
      <c r="V634" s="92"/>
      <c r="W634" s="92"/>
      <c r="X634" s="92"/>
      <c r="Y634" s="92"/>
      <c r="Z634" s="92"/>
    </row>
    <row r="635" spans="1:26" hidden="1">
      <c r="A635" s="92"/>
      <c r="B635" s="92"/>
      <c r="C635" s="92"/>
      <c r="D635" s="92"/>
      <c r="E635" s="92"/>
      <c r="F635" s="92"/>
      <c r="G635" s="92"/>
      <c r="H635" s="92"/>
      <c r="I635" s="92"/>
      <c r="J635" s="92"/>
      <c r="K635" s="92"/>
      <c r="L635" s="92"/>
      <c r="M635" s="92"/>
      <c r="N635" s="92"/>
      <c r="O635" s="92"/>
      <c r="P635" s="92"/>
      <c r="Q635" s="92"/>
      <c r="R635" s="92"/>
      <c r="S635" s="92"/>
      <c r="T635" s="92"/>
      <c r="U635" s="92"/>
      <c r="V635" s="92"/>
      <c r="W635" s="92"/>
      <c r="X635" s="92"/>
      <c r="Y635" s="92"/>
      <c r="Z635" s="92"/>
    </row>
    <row r="636" spans="1:26" hidden="1">
      <c r="A636" s="92"/>
      <c r="B636" s="92"/>
      <c r="C636" s="92"/>
      <c r="D636" s="92"/>
      <c r="E636" s="92"/>
      <c r="F636" s="92"/>
      <c r="G636" s="92"/>
      <c r="H636" s="92"/>
      <c r="I636" s="92"/>
      <c r="J636" s="92"/>
      <c r="K636" s="92"/>
      <c r="L636" s="92"/>
      <c r="M636" s="92"/>
      <c r="N636" s="92"/>
      <c r="O636" s="92"/>
      <c r="P636" s="92"/>
      <c r="Q636" s="92"/>
      <c r="R636" s="92"/>
      <c r="S636" s="92"/>
      <c r="T636" s="92"/>
      <c r="U636" s="92"/>
      <c r="V636" s="92"/>
      <c r="W636" s="92"/>
      <c r="X636" s="92"/>
      <c r="Y636" s="92"/>
      <c r="Z636" s="92"/>
    </row>
    <row r="637" spans="1:26" hidden="1">
      <c r="A637" s="92"/>
      <c r="B637" s="92"/>
      <c r="C637" s="92"/>
      <c r="D637" s="92"/>
      <c r="E637" s="92"/>
      <c r="F637" s="92"/>
      <c r="G637" s="92"/>
      <c r="H637" s="92"/>
      <c r="I637" s="92"/>
      <c r="J637" s="92"/>
      <c r="K637" s="92"/>
      <c r="L637" s="92"/>
      <c r="M637" s="92"/>
      <c r="N637" s="92"/>
      <c r="O637" s="92"/>
      <c r="P637" s="92"/>
      <c r="Q637" s="92"/>
      <c r="R637" s="92"/>
      <c r="S637" s="92"/>
      <c r="T637" s="92"/>
      <c r="U637" s="92"/>
      <c r="V637" s="92"/>
      <c r="W637" s="92"/>
      <c r="X637" s="92"/>
      <c r="Y637" s="92"/>
      <c r="Z637" s="92"/>
    </row>
    <row r="638" spans="1:26" hidden="1">
      <c r="A638" s="92"/>
      <c r="B638" s="92"/>
      <c r="C638" s="92"/>
      <c r="D638" s="92"/>
      <c r="E638" s="92"/>
      <c r="F638" s="92"/>
      <c r="G638" s="92"/>
      <c r="H638" s="92"/>
      <c r="I638" s="92"/>
      <c r="J638" s="92"/>
      <c r="K638" s="92"/>
      <c r="L638" s="92"/>
      <c r="M638" s="92"/>
      <c r="N638" s="92"/>
      <c r="O638" s="92"/>
      <c r="P638" s="92"/>
      <c r="Q638" s="92"/>
      <c r="R638" s="92"/>
      <c r="S638" s="92"/>
      <c r="T638" s="92"/>
      <c r="U638" s="92"/>
      <c r="V638" s="92"/>
      <c r="W638" s="92"/>
      <c r="X638" s="92"/>
      <c r="Y638" s="92"/>
      <c r="Z638" s="92"/>
    </row>
    <row r="639" spans="1:26" hidden="1">
      <c r="A639" s="92"/>
      <c r="B639" s="92"/>
      <c r="C639" s="92"/>
      <c r="D639" s="92"/>
      <c r="E639" s="92"/>
      <c r="F639" s="92"/>
      <c r="G639" s="92"/>
      <c r="H639" s="92"/>
      <c r="I639" s="92"/>
      <c r="J639" s="92"/>
      <c r="K639" s="92"/>
      <c r="L639" s="92"/>
      <c r="M639" s="92"/>
      <c r="N639" s="92"/>
      <c r="O639" s="92"/>
      <c r="P639" s="92"/>
      <c r="Q639" s="92"/>
      <c r="R639" s="92"/>
      <c r="S639" s="92"/>
      <c r="T639" s="92"/>
      <c r="U639" s="92"/>
      <c r="V639" s="92"/>
      <c r="W639" s="92"/>
      <c r="X639" s="92"/>
      <c r="Y639" s="92"/>
      <c r="Z639" s="92"/>
    </row>
    <row r="640" spans="1:26" hidden="1">
      <c r="A640" s="92"/>
      <c r="B640" s="92"/>
      <c r="C640" s="92"/>
      <c r="D640" s="92"/>
      <c r="E640" s="92"/>
      <c r="F640" s="92"/>
      <c r="G640" s="92"/>
      <c r="H640" s="92"/>
      <c r="I640" s="92"/>
      <c r="J640" s="92"/>
      <c r="K640" s="92"/>
      <c r="L640" s="92"/>
      <c r="M640" s="92"/>
      <c r="N640" s="92"/>
      <c r="O640" s="92"/>
      <c r="P640" s="92"/>
      <c r="Q640" s="92"/>
      <c r="R640" s="92"/>
      <c r="S640" s="92"/>
      <c r="T640" s="92"/>
      <c r="U640" s="92"/>
      <c r="V640" s="92"/>
      <c r="W640" s="92"/>
      <c r="X640" s="92"/>
      <c r="Y640" s="92"/>
      <c r="Z640" s="92"/>
    </row>
    <row r="641" spans="1:26" hidden="1">
      <c r="A641" s="92"/>
      <c r="B641" s="92"/>
      <c r="C641" s="92"/>
      <c r="D641" s="92"/>
      <c r="E641" s="92"/>
      <c r="F641" s="92"/>
      <c r="G641" s="92"/>
      <c r="H641" s="92"/>
      <c r="I641" s="92"/>
      <c r="J641" s="92"/>
      <c r="K641" s="92"/>
      <c r="L641" s="92"/>
      <c r="M641" s="92"/>
      <c r="N641" s="92"/>
      <c r="O641" s="92"/>
      <c r="P641" s="92"/>
      <c r="Q641" s="92"/>
      <c r="R641" s="92"/>
      <c r="S641" s="92"/>
      <c r="T641" s="92"/>
      <c r="U641" s="92"/>
      <c r="V641" s="92"/>
      <c r="W641" s="92"/>
      <c r="X641" s="92"/>
      <c r="Y641" s="92"/>
      <c r="Z641" s="92"/>
    </row>
    <row r="642" spans="1:26" hidden="1">
      <c r="A642" s="92"/>
      <c r="B642" s="92"/>
      <c r="C642" s="92"/>
      <c r="D642" s="92"/>
      <c r="E642" s="92"/>
      <c r="F642" s="92"/>
      <c r="G642" s="92"/>
      <c r="H642" s="92"/>
      <c r="I642" s="92"/>
      <c r="J642" s="92"/>
      <c r="K642" s="92"/>
      <c r="L642" s="92"/>
      <c r="M642" s="92"/>
      <c r="N642" s="92"/>
      <c r="O642" s="92"/>
      <c r="P642" s="92"/>
      <c r="Q642" s="92"/>
      <c r="R642" s="92"/>
      <c r="S642" s="92"/>
      <c r="T642" s="92"/>
      <c r="U642" s="92"/>
      <c r="V642" s="92"/>
      <c r="W642" s="92"/>
      <c r="X642" s="92"/>
      <c r="Y642" s="92"/>
      <c r="Z642" s="92"/>
    </row>
    <row r="643" spans="1:26" hidden="1">
      <c r="A643" s="92"/>
      <c r="B643" s="92"/>
      <c r="C643" s="92"/>
      <c r="D643" s="92"/>
      <c r="E643" s="92"/>
      <c r="F643" s="92"/>
      <c r="G643" s="92"/>
      <c r="H643" s="92"/>
      <c r="I643" s="92"/>
      <c r="J643" s="92"/>
      <c r="K643" s="92"/>
      <c r="L643" s="92"/>
      <c r="M643" s="92"/>
      <c r="N643" s="92"/>
      <c r="O643" s="92"/>
      <c r="P643" s="92"/>
      <c r="Q643" s="92"/>
      <c r="R643" s="92"/>
      <c r="S643" s="92"/>
      <c r="T643" s="92"/>
      <c r="U643" s="92"/>
      <c r="V643" s="92"/>
      <c r="W643" s="92"/>
      <c r="X643" s="92"/>
      <c r="Y643" s="92"/>
      <c r="Z643" s="92"/>
    </row>
    <row r="644" spans="1:26" hidden="1">
      <c r="A644" s="92"/>
      <c r="B644" s="92"/>
      <c r="C644" s="92"/>
      <c r="D644" s="92"/>
      <c r="E644" s="92"/>
      <c r="F644" s="92"/>
      <c r="G644" s="92"/>
      <c r="H644" s="92"/>
      <c r="I644" s="92"/>
      <c r="J644" s="92"/>
      <c r="K644" s="92"/>
      <c r="L644" s="92"/>
      <c r="M644" s="92"/>
      <c r="N644" s="92"/>
      <c r="O644" s="92"/>
      <c r="P644" s="92"/>
      <c r="Q644" s="92"/>
      <c r="R644" s="92"/>
      <c r="S644" s="92"/>
      <c r="T644" s="92"/>
      <c r="U644" s="92"/>
      <c r="V644" s="92"/>
      <c r="W644" s="92"/>
      <c r="X644" s="92"/>
      <c r="Y644" s="92"/>
      <c r="Z644" s="92"/>
    </row>
    <row r="645" spans="1:26" hidden="1">
      <c r="A645" s="92"/>
      <c r="B645" s="92"/>
      <c r="C645" s="92"/>
      <c r="D645" s="92"/>
      <c r="E645" s="92"/>
      <c r="F645" s="92"/>
      <c r="G645" s="92"/>
      <c r="H645" s="92"/>
      <c r="I645" s="92"/>
      <c r="J645" s="92"/>
      <c r="K645" s="92"/>
      <c r="L645" s="92"/>
      <c r="M645" s="92"/>
      <c r="N645" s="92"/>
      <c r="O645" s="92"/>
      <c r="P645" s="92"/>
      <c r="Q645" s="92"/>
      <c r="R645" s="92"/>
      <c r="S645" s="92"/>
      <c r="T645" s="92"/>
      <c r="U645" s="92"/>
      <c r="V645" s="92"/>
      <c r="W645" s="92"/>
      <c r="X645" s="92"/>
      <c r="Y645" s="92"/>
      <c r="Z645" s="92"/>
    </row>
    <row r="646" spans="1:26" hidden="1">
      <c r="A646" s="92"/>
      <c r="B646" s="92"/>
      <c r="C646" s="92"/>
      <c r="D646" s="92"/>
      <c r="E646" s="92"/>
      <c r="F646" s="92"/>
      <c r="G646" s="92"/>
      <c r="H646" s="92"/>
      <c r="I646" s="92"/>
      <c r="J646" s="92"/>
      <c r="K646" s="92"/>
      <c r="L646" s="92"/>
      <c r="M646" s="92"/>
      <c r="N646" s="92"/>
      <c r="O646" s="92"/>
      <c r="P646" s="92"/>
      <c r="Q646" s="92"/>
      <c r="R646" s="92"/>
      <c r="S646" s="92"/>
      <c r="T646" s="92"/>
      <c r="U646" s="92"/>
      <c r="V646" s="92"/>
      <c r="W646" s="92"/>
      <c r="X646" s="92"/>
      <c r="Y646" s="92"/>
      <c r="Z646" s="92"/>
    </row>
    <row r="647" spans="1:26" hidden="1">
      <c r="A647" s="92"/>
      <c r="B647" s="92"/>
      <c r="C647" s="92"/>
      <c r="D647" s="92"/>
      <c r="E647" s="92"/>
      <c r="F647" s="92"/>
      <c r="G647" s="92"/>
      <c r="H647" s="92"/>
      <c r="I647" s="92"/>
      <c r="J647" s="92"/>
      <c r="K647" s="92"/>
      <c r="L647" s="92"/>
      <c r="M647" s="92"/>
      <c r="N647" s="92"/>
      <c r="O647" s="92"/>
      <c r="P647" s="92"/>
      <c r="Q647" s="92"/>
      <c r="R647" s="92"/>
      <c r="S647" s="92"/>
      <c r="T647" s="92"/>
      <c r="U647" s="92"/>
      <c r="V647" s="92"/>
      <c r="W647" s="92"/>
      <c r="X647" s="92"/>
      <c r="Y647" s="92"/>
      <c r="Z647" s="92"/>
    </row>
    <row r="648" spans="1:26" hidden="1">
      <c r="A648" s="92"/>
      <c r="B648" s="92"/>
      <c r="C648" s="92"/>
      <c r="D648" s="92"/>
      <c r="E648" s="92"/>
      <c r="F648" s="92"/>
      <c r="G648" s="92"/>
      <c r="H648" s="92"/>
      <c r="I648" s="92"/>
      <c r="J648" s="92"/>
      <c r="K648" s="92"/>
      <c r="L648" s="92"/>
      <c r="M648" s="92"/>
      <c r="N648" s="92"/>
      <c r="O648" s="92"/>
      <c r="P648" s="92"/>
      <c r="Q648" s="92"/>
      <c r="R648" s="92"/>
      <c r="S648" s="92"/>
      <c r="T648" s="92"/>
      <c r="U648" s="92"/>
      <c r="V648" s="92"/>
      <c r="W648" s="92"/>
      <c r="X648" s="92"/>
      <c r="Y648" s="92"/>
      <c r="Z648" s="92"/>
    </row>
    <row r="649" spans="1:26" hidden="1">
      <c r="A649" s="92"/>
      <c r="B649" s="92"/>
      <c r="C649" s="92"/>
      <c r="D649" s="92"/>
      <c r="E649" s="92"/>
      <c r="F649" s="92"/>
      <c r="G649" s="92"/>
      <c r="H649" s="92"/>
      <c r="I649" s="92"/>
      <c r="J649" s="92"/>
      <c r="K649" s="92"/>
      <c r="L649" s="92"/>
      <c r="M649" s="92"/>
      <c r="N649" s="92"/>
      <c r="O649" s="92"/>
      <c r="P649" s="92"/>
      <c r="Q649" s="92"/>
      <c r="R649" s="92"/>
      <c r="S649" s="92"/>
      <c r="T649" s="92"/>
      <c r="U649" s="92"/>
      <c r="V649" s="92"/>
      <c r="W649" s="92"/>
      <c r="X649" s="92"/>
      <c r="Y649" s="92"/>
      <c r="Z649" s="92"/>
    </row>
    <row r="650" spans="1:26" hidden="1">
      <c r="A650" s="92"/>
      <c r="B650" s="92"/>
      <c r="C650" s="92"/>
      <c r="D650" s="92"/>
      <c r="E650" s="92"/>
      <c r="F650" s="92"/>
      <c r="G650" s="92"/>
      <c r="H650" s="92"/>
      <c r="I650" s="92"/>
      <c r="J650" s="92"/>
      <c r="K650" s="92"/>
      <c r="L650" s="92"/>
      <c r="M650" s="92"/>
      <c r="N650" s="92"/>
      <c r="O650" s="92"/>
      <c r="P650" s="92"/>
      <c r="Q650" s="92"/>
      <c r="R650" s="92"/>
      <c r="S650" s="92"/>
      <c r="T650" s="92"/>
      <c r="U650" s="92"/>
      <c r="V650" s="92"/>
      <c r="W650" s="92"/>
      <c r="X650" s="92"/>
      <c r="Y650" s="92"/>
      <c r="Z650" s="92"/>
    </row>
    <row r="651" spans="1:26" hidden="1">
      <c r="A651" s="92"/>
      <c r="B651" s="92"/>
      <c r="C651" s="92"/>
      <c r="D651" s="92"/>
      <c r="E651" s="92"/>
      <c r="F651" s="92"/>
      <c r="G651" s="92"/>
      <c r="H651" s="92"/>
      <c r="I651" s="92"/>
      <c r="J651" s="92"/>
      <c r="K651" s="92"/>
      <c r="L651" s="92"/>
      <c r="M651" s="92"/>
      <c r="N651" s="92"/>
      <c r="O651" s="92"/>
      <c r="P651" s="92"/>
      <c r="Q651" s="92"/>
      <c r="R651" s="92"/>
      <c r="S651" s="92"/>
      <c r="T651" s="92"/>
      <c r="U651" s="92"/>
      <c r="V651" s="92"/>
      <c r="W651" s="92"/>
      <c r="X651" s="92"/>
      <c r="Y651" s="92"/>
      <c r="Z651" s="92"/>
    </row>
    <row r="652" spans="1:26" hidden="1">
      <c r="A652" s="92"/>
      <c r="B652" s="92"/>
      <c r="C652" s="92"/>
      <c r="D652" s="92"/>
      <c r="E652" s="92"/>
      <c r="F652" s="92"/>
      <c r="G652" s="92"/>
      <c r="H652" s="92"/>
      <c r="I652" s="92"/>
      <c r="J652" s="92"/>
      <c r="K652" s="92"/>
      <c r="L652" s="92"/>
      <c r="M652" s="92"/>
      <c r="N652" s="92"/>
      <c r="O652" s="92"/>
      <c r="P652" s="92"/>
      <c r="Q652" s="92"/>
      <c r="R652" s="92"/>
      <c r="S652" s="92"/>
      <c r="T652" s="92"/>
      <c r="U652" s="92"/>
      <c r="V652" s="92"/>
      <c r="W652" s="92"/>
      <c r="X652" s="92"/>
      <c r="Y652" s="92"/>
      <c r="Z652" s="92"/>
    </row>
    <row r="653" spans="1:26" hidden="1">
      <c r="A653" s="92"/>
      <c r="B653" s="92"/>
      <c r="C653" s="92"/>
      <c r="D653" s="92"/>
      <c r="E653" s="92"/>
      <c r="F653" s="92"/>
      <c r="G653" s="92"/>
      <c r="H653" s="92"/>
      <c r="I653" s="92"/>
      <c r="J653" s="92"/>
      <c r="K653" s="92"/>
      <c r="L653" s="92"/>
      <c r="M653" s="92"/>
      <c r="N653" s="92"/>
      <c r="O653" s="92"/>
      <c r="P653" s="92"/>
      <c r="Q653" s="92"/>
      <c r="R653" s="92"/>
      <c r="S653" s="92"/>
      <c r="T653" s="92"/>
      <c r="U653" s="92"/>
      <c r="V653" s="92"/>
      <c r="W653" s="92"/>
      <c r="X653" s="92"/>
      <c r="Y653" s="92"/>
      <c r="Z653" s="92"/>
    </row>
    <row r="654" spans="1:26" hidden="1">
      <c r="A654" s="92"/>
      <c r="B654" s="92"/>
      <c r="C654" s="92"/>
      <c r="D654" s="92"/>
      <c r="E654" s="92"/>
      <c r="F654" s="92"/>
      <c r="G654" s="92"/>
      <c r="H654" s="92"/>
      <c r="I654" s="92"/>
      <c r="J654" s="92"/>
      <c r="K654" s="92"/>
      <c r="L654" s="92"/>
      <c r="M654" s="92"/>
      <c r="N654" s="92"/>
      <c r="O654" s="92"/>
      <c r="P654" s="92"/>
      <c r="Q654" s="92"/>
      <c r="R654" s="92"/>
      <c r="S654" s="92"/>
      <c r="T654" s="92"/>
      <c r="U654" s="92"/>
      <c r="V654" s="92"/>
      <c r="W654" s="92"/>
      <c r="X654" s="92"/>
      <c r="Y654" s="92"/>
      <c r="Z654" s="92"/>
    </row>
    <row r="655" spans="1:26" hidden="1">
      <c r="A655" s="92"/>
      <c r="B655" s="92"/>
      <c r="C655" s="92"/>
      <c r="D655" s="92"/>
      <c r="E655" s="92"/>
      <c r="F655" s="92"/>
      <c r="G655" s="92"/>
      <c r="H655" s="92"/>
      <c r="I655" s="92"/>
      <c r="J655" s="92"/>
      <c r="K655" s="92"/>
      <c r="L655" s="92"/>
      <c r="M655" s="92"/>
      <c r="N655" s="92"/>
      <c r="O655" s="92"/>
      <c r="P655" s="92"/>
      <c r="Q655" s="92"/>
      <c r="R655" s="92"/>
      <c r="S655" s="92"/>
      <c r="T655" s="92"/>
      <c r="U655" s="92"/>
      <c r="V655" s="92"/>
      <c r="W655" s="92"/>
      <c r="X655" s="92"/>
      <c r="Y655" s="92"/>
      <c r="Z655" s="92"/>
    </row>
    <row r="656" spans="1:26" hidden="1">
      <c r="A656" s="92"/>
      <c r="B656" s="92"/>
      <c r="C656" s="92"/>
      <c r="D656" s="92"/>
      <c r="E656" s="92"/>
      <c r="F656" s="92"/>
      <c r="G656" s="92"/>
      <c r="H656" s="92"/>
      <c r="I656" s="92"/>
      <c r="J656" s="92"/>
      <c r="K656" s="92"/>
      <c r="L656" s="92"/>
      <c r="M656" s="92"/>
      <c r="N656" s="92"/>
      <c r="O656" s="92"/>
      <c r="P656" s="92"/>
      <c r="Q656" s="92"/>
      <c r="R656" s="92"/>
      <c r="S656" s="92"/>
      <c r="T656" s="92"/>
      <c r="U656" s="92"/>
      <c r="V656" s="92"/>
      <c r="W656" s="92"/>
      <c r="X656" s="92"/>
      <c r="Y656" s="92"/>
      <c r="Z656" s="92"/>
    </row>
    <row r="657" spans="1:26" hidden="1">
      <c r="A657" s="92"/>
      <c r="B657" s="92"/>
      <c r="C657" s="92"/>
      <c r="D657" s="92"/>
      <c r="E657" s="92"/>
      <c r="F657" s="92"/>
      <c r="G657" s="92"/>
      <c r="H657" s="92"/>
      <c r="I657" s="92"/>
      <c r="J657" s="92"/>
      <c r="K657" s="92"/>
      <c r="L657" s="92"/>
      <c r="M657" s="92"/>
      <c r="N657" s="92"/>
      <c r="O657" s="92"/>
      <c r="P657" s="92"/>
      <c r="Q657" s="92"/>
      <c r="R657" s="92"/>
      <c r="S657" s="92"/>
      <c r="T657" s="92"/>
      <c r="U657" s="92"/>
      <c r="V657" s="92"/>
      <c r="W657" s="92"/>
      <c r="X657" s="92"/>
      <c r="Y657" s="92"/>
      <c r="Z657" s="92"/>
    </row>
    <row r="658" spans="1:26" hidden="1">
      <c r="A658" s="92"/>
      <c r="B658" s="92"/>
      <c r="C658" s="92"/>
      <c r="D658" s="92"/>
      <c r="E658" s="92"/>
      <c r="F658" s="92"/>
      <c r="G658" s="92"/>
      <c r="H658" s="92"/>
      <c r="I658" s="92"/>
      <c r="J658" s="92"/>
      <c r="K658" s="92"/>
      <c r="L658" s="92"/>
      <c r="M658" s="92"/>
      <c r="N658" s="92"/>
      <c r="O658" s="92"/>
      <c r="P658" s="92"/>
      <c r="Q658" s="92"/>
      <c r="R658" s="92"/>
      <c r="S658" s="92"/>
      <c r="T658" s="92"/>
      <c r="U658" s="92"/>
      <c r="V658" s="92"/>
      <c r="W658" s="92"/>
      <c r="X658" s="92"/>
      <c r="Y658" s="92"/>
      <c r="Z658" s="92"/>
    </row>
    <row r="659" spans="1:26" hidden="1">
      <c r="A659" s="92"/>
      <c r="B659" s="92"/>
      <c r="C659" s="92"/>
      <c r="D659" s="92"/>
      <c r="E659" s="92"/>
      <c r="F659" s="92"/>
      <c r="G659" s="92"/>
      <c r="H659" s="92"/>
      <c r="I659" s="92"/>
      <c r="J659" s="92"/>
      <c r="K659" s="92"/>
      <c r="L659" s="92"/>
      <c r="M659" s="92"/>
      <c r="N659" s="92"/>
      <c r="O659" s="92"/>
      <c r="P659" s="92"/>
      <c r="Q659" s="92"/>
      <c r="R659" s="92"/>
      <c r="S659" s="92"/>
      <c r="T659" s="92"/>
      <c r="U659" s="92"/>
      <c r="V659" s="92"/>
      <c r="W659" s="92"/>
      <c r="X659" s="92"/>
      <c r="Y659" s="92"/>
      <c r="Z659" s="92"/>
    </row>
    <row r="660" spans="1:26" hidden="1">
      <c r="A660" s="92"/>
      <c r="B660" s="92"/>
      <c r="C660" s="92"/>
      <c r="D660" s="92"/>
      <c r="E660" s="92"/>
      <c r="F660" s="92"/>
      <c r="G660" s="92"/>
      <c r="H660" s="92"/>
      <c r="I660" s="92"/>
      <c r="J660" s="92"/>
      <c r="K660" s="92"/>
      <c r="L660" s="92"/>
      <c r="M660" s="92"/>
      <c r="N660" s="92"/>
      <c r="O660" s="92"/>
      <c r="P660" s="92"/>
      <c r="Q660" s="92"/>
      <c r="R660" s="92"/>
      <c r="S660" s="92"/>
      <c r="T660" s="92"/>
      <c r="U660" s="92"/>
      <c r="V660" s="92"/>
      <c r="W660" s="92"/>
      <c r="X660" s="92"/>
      <c r="Y660" s="92"/>
      <c r="Z660" s="92"/>
    </row>
    <row r="661" spans="1:26" hidden="1">
      <c r="A661" s="92"/>
      <c r="B661" s="92"/>
      <c r="C661" s="92"/>
      <c r="D661" s="92"/>
      <c r="E661" s="92"/>
      <c r="F661" s="92"/>
      <c r="G661" s="92"/>
      <c r="H661" s="92"/>
      <c r="I661" s="92"/>
      <c r="J661" s="92"/>
      <c r="K661" s="92"/>
      <c r="L661" s="92"/>
      <c r="M661" s="92"/>
      <c r="N661" s="92"/>
      <c r="O661" s="92"/>
      <c r="P661" s="92"/>
      <c r="Q661" s="92"/>
      <c r="R661" s="92"/>
      <c r="S661" s="92"/>
      <c r="T661" s="92"/>
      <c r="U661" s="92"/>
      <c r="V661" s="92"/>
      <c r="W661" s="92"/>
      <c r="X661" s="92"/>
      <c r="Y661" s="92"/>
      <c r="Z661" s="92"/>
    </row>
    <row r="662" spans="1:26" hidden="1">
      <c r="A662" s="92"/>
      <c r="B662" s="92"/>
      <c r="C662" s="92"/>
      <c r="D662" s="92"/>
      <c r="E662" s="92"/>
      <c r="F662" s="92"/>
      <c r="G662" s="92"/>
      <c r="H662" s="92"/>
      <c r="I662" s="92"/>
      <c r="J662" s="92"/>
      <c r="K662" s="92"/>
      <c r="L662" s="92"/>
      <c r="M662" s="92"/>
      <c r="N662" s="92"/>
      <c r="O662" s="92"/>
      <c r="P662" s="92"/>
      <c r="Q662" s="92"/>
      <c r="R662" s="92"/>
      <c r="S662" s="92"/>
      <c r="T662" s="92"/>
      <c r="U662" s="92"/>
      <c r="V662" s="92"/>
      <c r="W662" s="92"/>
      <c r="X662" s="92"/>
      <c r="Y662" s="92"/>
      <c r="Z662" s="92"/>
    </row>
    <row r="663" spans="1:26" hidden="1">
      <c r="A663" s="92"/>
      <c r="B663" s="92"/>
      <c r="C663" s="92"/>
      <c r="D663" s="92"/>
      <c r="E663" s="92"/>
      <c r="F663" s="92"/>
      <c r="G663" s="92"/>
      <c r="H663" s="92"/>
      <c r="I663" s="92"/>
      <c r="J663" s="92"/>
      <c r="K663" s="92"/>
      <c r="L663" s="92"/>
      <c r="M663" s="92"/>
      <c r="N663" s="92"/>
      <c r="O663" s="92"/>
      <c r="P663" s="92"/>
      <c r="Q663" s="92"/>
      <c r="R663" s="92"/>
      <c r="S663" s="92"/>
      <c r="T663" s="92"/>
      <c r="U663" s="92"/>
      <c r="V663" s="92"/>
      <c r="W663" s="92"/>
      <c r="X663" s="92"/>
      <c r="Y663" s="92"/>
      <c r="Z663" s="92"/>
    </row>
    <row r="664" spans="1:26" hidden="1">
      <c r="A664" s="92"/>
      <c r="B664" s="92"/>
      <c r="C664" s="92"/>
      <c r="D664" s="92"/>
      <c r="E664" s="92"/>
      <c r="F664" s="92"/>
      <c r="G664" s="92"/>
      <c r="H664" s="92"/>
      <c r="I664" s="92"/>
      <c r="J664" s="92"/>
      <c r="K664" s="92"/>
      <c r="L664" s="92"/>
      <c r="M664" s="92"/>
      <c r="N664" s="92"/>
      <c r="O664" s="92"/>
      <c r="P664" s="92"/>
      <c r="Q664" s="92"/>
      <c r="R664" s="92"/>
      <c r="S664" s="92"/>
      <c r="T664" s="92"/>
      <c r="U664" s="92"/>
      <c r="V664" s="92"/>
      <c r="W664" s="92"/>
      <c r="X664" s="92"/>
      <c r="Y664" s="92"/>
      <c r="Z664" s="92"/>
    </row>
    <row r="665" spans="1:26" hidden="1">
      <c r="A665" s="92"/>
      <c r="B665" s="92"/>
      <c r="C665" s="92"/>
      <c r="D665" s="92"/>
      <c r="E665" s="92"/>
      <c r="F665" s="92"/>
      <c r="G665" s="92"/>
      <c r="H665" s="92"/>
      <c r="I665" s="92"/>
      <c r="J665" s="92"/>
      <c r="K665" s="92"/>
      <c r="L665" s="92"/>
      <c r="M665" s="92"/>
      <c r="N665" s="92"/>
      <c r="O665" s="92"/>
      <c r="P665" s="92"/>
      <c r="Q665" s="92"/>
      <c r="R665" s="92"/>
      <c r="S665" s="92"/>
      <c r="T665" s="92"/>
      <c r="U665" s="92"/>
      <c r="V665" s="92"/>
      <c r="W665" s="92"/>
      <c r="X665" s="92"/>
      <c r="Y665" s="92"/>
      <c r="Z665" s="92"/>
    </row>
    <row r="666" spans="1:26" hidden="1">
      <c r="A666" s="92"/>
      <c r="B666" s="92"/>
      <c r="C666" s="92"/>
      <c r="D666" s="92"/>
      <c r="E666" s="92"/>
      <c r="F666" s="92"/>
      <c r="G666" s="92"/>
      <c r="H666" s="92"/>
      <c r="I666" s="92"/>
      <c r="J666" s="92"/>
      <c r="K666" s="92"/>
      <c r="L666" s="92"/>
      <c r="M666" s="92"/>
      <c r="N666" s="92"/>
      <c r="O666" s="92"/>
      <c r="P666" s="92"/>
      <c r="Q666" s="92"/>
      <c r="R666" s="92"/>
      <c r="S666" s="92"/>
      <c r="T666" s="92"/>
      <c r="U666" s="92"/>
      <c r="V666" s="92"/>
      <c r="W666" s="92"/>
      <c r="X666" s="92"/>
      <c r="Y666" s="92"/>
      <c r="Z666" s="92"/>
    </row>
    <row r="667" spans="1:26" hidden="1">
      <c r="A667" s="92"/>
      <c r="B667" s="92"/>
      <c r="C667" s="92"/>
      <c r="D667" s="92"/>
      <c r="E667" s="92"/>
      <c r="F667" s="92"/>
      <c r="G667" s="92"/>
      <c r="H667" s="92"/>
      <c r="I667" s="92"/>
      <c r="J667" s="92"/>
      <c r="K667" s="92"/>
      <c r="L667" s="92"/>
      <c r="M667" s="92"/>
      <c r="N667" s="92"/>
      <c r="O667" s="92"/>
      <c r="P667" s="92"/>
      <c r="Q667" s="92"/>
      <c r="R667" s="92"/>
      <c r="S667" s="92"/>
      <c r="T667" s="92"/>
      <c r="U667" s="92"/>
      <c r="V667" s="92"/>
      <c r="W667" s="92"/>
      <c r="X667" s="92"/>
      <c r="Y667" s="92"/>
      <c r="Z667" s="92"/>
    </row>
    <row r="668" spans="1:26" hidden="1">
      <c r="A668" s="92"/>
      <c r="B668" s="92"/>
      <c r="C668" s="92"/>
      <c r="D668" s="92"/>
      <c r="E668" s="92"/>
      <c r="F668" s="92"/>
      <c r="G668" s="92"/>
      <c r="H668" s="92"/>
      <c r="I668" s="92"/>
      <c r="J668" s="92"/>
      <c r="K668" s="92"/>
      <c r="L668" s="92"/>
      <c r="M668" s="92"/>
      <c r="N668" s="92"/>
      <c r="O668" s="92"/>
      <c r="P668" s="92"/>
      <c r="Q668" s="92"/>
      <c r="R668" s="92"/>
      <c r="S668" s="92"/>
      <c r="T668" s="92"/>
      <c r="U668" s="92"/>
      <c r="V668" s="92"/>
      <c r="W668" s="92"/>
      <c r="X668" s="92"/>
      <c r="Y668" s="92"/>
      <c r="Z668" s="92"/>
    </row>
    <row r="669" spans="1:26" hidden="1">
      <c r="A669" s="92"/>
      <c r="B669" s="92"/>
      <c r="C669" s="92"/>
      <c r="D669" s="92"/>
      <c r="E669" s="92"/>
      <c r="F669" s="92"/>
      <c r="G669" s="92"/>
      <c r="H669" s="92"/>
      <c r="I669" s="92"/>
      <c r="J669" s="92"/>
      <c r="K669" s="92"/>
      <c r="L669" s="92"/>
      <c r="M669" s="92"/>
      <c r="N669" s="92"/>
      <c r="O669" s="92"/>
      <c r="P669" s="92"/>
      <c r="Q669" s="92"/>
      <c r="R669" s="92"/>
      <c r="S669" s="92"/>
      <c r="T669" s="92"/>
      <c r="U669" s="92"/>
      <c r="V669" s="92"/>
      <c r="W669" s="92"/>
      <c r="X669" s="92"/>
      <c r="Y669" s="92"/>
      <c r="Z669" s="92"/>
    </row>
    <row r="670" spans="1:26" hidden="1">
      <c r="A670" s="92"/>
      <c r="B670" s="92"/>
      <c r="C670" s="92"/>
      <c r="D670" s="92"/>
      <c r="E670" s="92"/>
      <c r="F670" s="92"/>
      <c r="G670" s="92"/>
      <c r="H670" s="92"/>
      <c r="I670" s="92"/>
      <c r="J670" s="92"/>
      <c r="K670" s="92"/>
      <c r="L670" s="92"/>
      <c r="M670" s="92"/>
      <c r="N670" s="92"/>
      <c r="O670" s="92"/>
      <c r="P670" s="92"/>
      <c r="Q670" s="92"/>
      <c r="R670" s="92"/>
      <c r="S670" s="92"/>
      <c r="T670" s="92"/>
      <c r="U670" s="92"/>
      <c r="V670" s="92"/>
      <c r="W670" s="92"/>
      <c r="X670" s="92"/>
      <c r="Y670" s="92"/>
      <c r="Z670" s="92"/>
    </row>
    <row r="671" spans="1:26" hidden="1">
      <c r="A671" s="92"/>
      <c r="B671" s="92"/>
      <c r="C671" s="92"/>
      <c r="D671" s="92"/>
      <c r="E671" s="92"/>
      <c r="F671" s="92"/>
      <c r="G671" s="92"/>
      <c r="H671" s="92"/>
      <c r="I671" s="92"/>
      <c r="J671" s="92"/>
      <c r="K671" s="92"/>
      <c r="L671" s="92"/>
      <c r="M671" s="92"/>
      <c r="N671" s="92"/>
      <c r="O671" s="92"/>
      <c r="P671" s="92"/>
      <c r="Q671" s="92"/>
      <c r="R671" s="92"/>
      <c r="S671" s="92"/>
      <c r="T671" s="92"/>
      <c r="U671" s="92"/>
      <c r="V671" s="92"/>
      <c r="W671" s="92"/>
      <c r="X671" s="92"/>
      <c r="Y671" s="92"/>
      <c r="Z671" s="92"/>
    </row>
    <row r="672" spans="1:26" hidden="1">
      <c r="A672" s="92"/>
      <c r="B672" s="92"/>
      <c r="C672" s="92"/>
      <c r="D672" s="92"/>
      <c r="E672" s="92"/>
      <c r="F672" s="92"/>
      <c r="G672" s="92"/>
      <c r="H672" s="92"/>
      <c r="I672" s="92"/>
      <c r="J672" s="92"/>
      <c r="K672" s="92"/>
      <c r="L672" s="92"/>
      <c r="M672" s="92"/>
      <c r="N672" s="92"/>
      <c r="O672" s="92"/>
      <c r="P672" s="92"/>
      <c r="Q672" s="92"/>
      <c r="R672" s="92"/>
      <c r="S672" s="92"/>
      <c r="T672" s="92"/>
      <c r="U672" s="92"/>
      <c r="V672" s="92"/>
      <c r="W672" s="92"/>
      <c r="X672" s="92"/>
      <c r="Y672" s="92"/>
      <c r="Z672" s="92"/>
    </row>
    <row r="673" spans="1:26" hidden="1">
      <c r="A673" s="92"/>
      <c r="B673" s="92"/>
      <c r="C673" s="92"/>
      <c r="D673" s="92"/>
      <c r="E673" s="92"/>
      <c r="F673" s="92"/>
      <c r="G673" s="92"/>
      <c r="H673" s="92"/>
      <c r="I673" s="92"/>
      <c r="J673" s="92"/>
      <c r="K673" s="92"/>
      <c r="L673" s="92"/>
      <c r="M673" s="92"/>
      <c r="N673" s="92"/>
      <c r="O673" s="92"/>
      <c r="P673" s="92"/>
      <c r="Q673" s="92"/>
      <c r="R673" s="92"/>
      <c r="S673" s="92"/>
      <c r="T673" s="92"/>
      <c r="U673" s="92"/>
      <c r="V673" s="92"/>
      <c r="W673" s="92"/>
      <c r="X673" s="92"/>
      <c r="Y673" s="92"/>
      <c r="Z673" s="92"/>
    </row>
    <row r="674" spans="1:26" hidden="1">
      <c r="A674" s="92"/>
      <c r="B674" s="92"/>
      <c r="C674" s="92"/>
      <c r="D674" s="92"/>
      <c r="E674" s="92"/>
      <c r="F674" s="92"/>
      <c r="G674" s="92"/>
      <c r="H674" s="92"/>
      <c r="I674" s="92"/>
      <c r="J674" s="92"/>
      <c r="K674" s="92"/>
      <c r="L674" s="92"/>
      <c r="M674" s="92"/>
      <c r="N674" s="92"/>
      <c r="O674" s="92"/>
      <c r="P674" s="92"/>
      <c r="Q674" s="92"/>
      <c r="R674" s="92"/>
      <c r="S674" s="92"/>
      <c r="T674" s="92"/>
      <c r="U674" s="92"/>
      <c r="V674" s="92"/>
      <c r="W674" s="92"/>
      <c r="X674" s="92"/>
      <c r="Y674" s="92"/>
      <c r="Z674" s="92"/>
    </row>
    <row r="675" spans="1:26" hidden="1">
      <c r="A675" s="92"/>
      <c r="B675" s="92"/>
      <c r="C675" s="92"/>
      <c r="D675" s="92"/>
      <c r="E675" s="92"/>
      <c r="F675" s="92"/>
      <c r="G675" s="92"/>
      <c r="H675" s="92"/>
      <c r="I675" s="92"/>
      <c r="J675" s="92"/>
      <c r="K675" s="92"/>
      <c r="L675" s="92"/>
      <c r="M675" s="92"/>
      <c r="N675" s="92"/>
      <c r="O675" s="92"/>
      <c r="P675" s="92"/>
      <c r="Q675" s="92"/>
      <c r="R675" s="92"/>
      <c r="S675" s="92"/>
      <c r="T675" s="92"/>
      <c r="U675" s="92"/>
      <c r="V675" s="92"/>
      <c r="W675" s="92"/>
      <c r="X675" s="92"/>
      <c r="Y675" s="92"/>
      <c r="Z675" s="92"/>
    </row>
    <row r="676" spans="1:26" hidden="1">
      <c r="A676" s="92"/>
      <c r="B676" s="92"/>
      <c r="C676" s="92"/>
      <c r="D676" s="92"/>
      <c r="E676" s="92"/>
      <c r="F676" s="92"/>
      <c r="G676" s="92"/>
      <c r="H676" s="92"/>
      <c r="I676" s="92"/>
      <c r="J676" s="92"/>
      <c r="K676" s="92"/>
      <c r="L676" s="92"/>
      <c r="M676" s="92"/>
      <c r="N676" s="92"/>
      <c r="O676" s="92"/>
      <c r="P676" s="92"/>
      <c r="Q676" s="92"/>
      <c r="R676" s="92"/>
      <c r="S676" s="92"/>
      <c r="T676" s="92"/>
      <c r="U676" s="92"/>
      <c r="V676" s="92"/>
      <c r="W676" s="92"/>
      <c r="X676" s="92"/>
      <c r="Y676" s="92"/>
      <c r="Z676" s="92"/>
    </row>
    <row r="677" spans="1:26" hidden="1">
      <c r="A677" s="92"/>
      <c r="B677" s="92"/>
      <c r="C677" s="92"/>
      <c r="D677" s="92"/>
      <c r="E677" s="92"/>
      <c r="F677" s="92"/>
      <c r="G677" s="92"/>
      <c r="H677" s="92"/>
      <c r="I677" s="92"/>
      <c r="J677" s="92"/>
      <c r="K677" s="92"/>
      <c r="L677" s="92"/>
      <c r="M677" s="92"/>
      <c r="N677" s="92"/>
      <c r="O677" s="92"/>
      <c r="P677" s="92"/>
      <c r="Q677" s="92"/>
      <c r="R677" s="92"/>
      <c r="S677" s="92"/>
      <c r="T677" s="92"/>
      <c r="U677" s="92"/>
      <c r="V677" s="92"/>
      <c r="W677" s="92"/>
      <c r="X677" s="92"/>
      <c r="Y677" s="92"/>
      <c r="Z677" s="92"/>
    </row>
    <row r="678" spans="1:26" hidden="1">
      <c r="A678" s="92"/>
      <c r="B678" s="92"/>
      <c r="C678" s="92"/>
      <c r="D678" s="92"/>
      <c r="E678" s="92"/>
      <c r="F678" s="92"/>
      <c r="G678" s="92"/>
      <c r="H678" s="92"/>
      <c r="I678" s="92"/>
      <c r="J678" s="92"/>
      <c r="K678" s="92"/>
      <c r="L678" s="92"/>
      <c r="M678" s="92"/>
      <c r="N678" s="92"/>
      <c r="O678" s="92"/>
      <c r="P678" s="92"/>
      <c r="Q678" s="92"/>
      <c r="R678" s="92"/>
      <c r="S678" s="92"/>
      <c r="T678" s="92"/>
      <c r="U678" s="92"/>
      <c r="V678" s="92"/>
      <c r="W678" s="92"/>
      <c r="X678" s="92"/>
      <c r="Y678" s="92"/>
      <c r="Z678" s="92"/>
    </row>
    <row r="679" spans="1:26" hidden="1">
      <c r="A679" s="92"/>
      <c r="B679" s="92"/>
      <c r="C679" s="92"/>
      <c r="D679" s="92"/>
      <c r="E679" s="92"/>
      <c r="F679" s="92"/>
      <c r="G679" s="92"/>
      <c r="H679" s="92"/>
      <c r="I679" s="92"/>
      <c r="J679" s="92"/>
      <c r="K679" s="92"/>
      <c r="L679" s="92"/>
      <c r="M679" s="92"/>
      <c r="N679" s="92"/>
      <c r="O679" s="92"/>
      <c r="P679" s="92"/>
      <c r="Q679" s="92"/>
      <c r="R679" s="92"/>
      <c r="S679" s="92"/>
      <c r="T679" s="92"/>
      <c r="U679" s="92"/>
      <c r="V679" s="92"/>
      <c r="W679" s="92"/>
      <c r="X679" s="92"/>
      <c r="Y679" s="92"/>
      <c r="Z679" s="92"/>
    </row>
    <row r="680" spans="1:26" hidden="1">
      <c r="A680" s="92"/>
      <c r="B680" s="92"/>
      <c r="C680" s="92"/>
      <c r="D680" s="92"/>
      <c r="E680" s="92"/>
      <c r="F680" s="92"/>
      <c r="G680" s="92"/>
      <c r="H680" s="92"/>
      <c r="I680" s="92"/>
      <c r="J680" s="92"/>
      <c r="K680" s="92"/>
      <c r="L680" s="92"/>
      <c r="M680" s="92"/>
      <c r="N680" s="92"/>
      <c r="O680" s="92"/>
      <c r="P680" s="92"/>
      <c r="Q680" s="92"/>
      <c r="R680" s="92"/>
      <c r="S680" s="92"/>
      <c r="T680" s="92"/>
      <c r="U680" s="92"/>
      <c r="V680" s="92"/>
      <c r="W680" s="92"/>
      <c r="X680" s="92"/>
      <c r="Y680" s="92"/>
      <c r="Z680" s="92"/>
    </row>
    <row r="681" spans="1:26" hidden="1">
      <c r="A681" s="92"/>
      <c r="B681" s="92"/>
      <c r="C681" s="92"/>
      <c r="D681" s="92"/>
      <c r="E681" s="92"/>
      <c r="F681" s="92"/>
      <c r="G681" s="92"/>
      <c r="H681" s="92"/>
      <c r="I681" s="92"/>
      <c r="J681" s="92"/>
      <c r="K681" s="92"/>
      <c r="L681" s="92"/>
      <c r="M681" s="92"/>
      <c r="N681" s="92"/>
      <c r="O681" s="92"/>
      <c r="P681" s="92"/>
      <c r="Q681" s="92"/>
      <c r="R681" s="92"/>
      <c r="S681" s="92"/>
      <c r="T681" s="92"/>
      <c r="U681" s="92"/>
      <c r="V681" s="92"/>
      <c r="W681" s="92"/>
      <c r="X681" s="92"/>
      <c r="Y681" s="92"/>
      <c r="Z681" s="92"/>
    </row>
    <row r="682" spans="1:26" hidden="1">
      <c r="A682" s="92"/>
      <c r="B682" s="92"/>
      <c r="C682" s="92"/>
      <c r="D682" s="92"/>
      <c r="E682" s="92"/>
      <c r="F682" s="92"/>
      <c r="G682" s="92"/>
      <c r="H682" s="92"/>
      <c r="I682" s="92"/>
      <c r="J682" s="92"/>
      <c r="K682" s="92"/>
      <c r="L682" s="92"/>
      <c r="M682" s="92"/>
      <c r="N682" s="92"/>
      <c r="O682" s="92"/>
      <c r="P682" s="92"/>
      <c r="Q682" s="92"/>
      <c r="R682" s="92"/>
      <c r="S682" s="92"/>
      <c r="T682" s="92"/>
      <c r="U682" s="92"/>
      <c r="V682" s="92"/>
      <c r="W682" s="92"/>
      <c r="X682" s="92"/>
      <c r="Y682" s="92"/>
      <c r="Z682" s="92"/>
    </row>
    <row r="683" spans="1:26" hidden="1">
      <c r="A683" s="92"/>
      <c r="B683" s="92"/>
      <c r="C683" s="92"/>
      <c r="D683" s="92"/>
      <c r="E683" s="92"/>
      <c r="F683" s="92"/>
      <c r="G683" s="92"/>
      <c r="H683" s="92"/>
      <c r="I683" s="92"/>
      <c r="J683" s="92"/>
      <c r="K683" s="92"/>
      <c r="L683" s="92"/>
      <c r="M683" s="92"/>
      <c r="N683" s="92"/>
      <c r="O683" s="92"/>
      <c r="P683" s="92"/>
      <c r="Q683" s="92"/>
      <c r="R683" s="92"/>
      <c r="S683" s="92"/>
      <c r="T683" s="92"/>
      <c r="U683" s="92"/>
      <c r="V683" s="92"/>
      <c r="W683" s="92"/>
      <c r="X683" s="92"/>
      <c r="Y683" s="92"/>
      <c r="Z683" s="92"/>
    </row>
    <row r="684" spans="1:26" hidden="1">
      <c r="A684" s="92"/>
      <c r="B684" s="92"/>
      <c r="C684" s="92"/>
      <c r="D684" s="92"/>
      <c r="E684" s="92"/>
      <c r="F684" s="92"/>
      <c r="G684" s="92"/>
      <c r="H684" s="92"/>
      <c r="I684" s="92"/>
      <c r="J684" s="92"/>
      <c r="K684" s="92"/>
      <c r="L684" s="92"/>
      <c r="M684" s="92"/>
      <c r="N684" s="92"/>
      <c r="O684" s="92"/>
      <c r="P684" s="92"/>
      <c r="Q684" s="92"/>
      <c r="R684" s="92"/>
      <c r="S684" s="92"/>
      <c r="T684" s="92"/>
      <c r="U684" s="92"/>
      <c r="V684" s="92"/>
      <c r="W684" s="92"/>
      <c r="X684" s="92"/>
      <c r="Y684" s="92"/>
      <c r="Z684" s="92"/>
    </row>
    <row r="685" spans="1:26" hidden="1">
      <c r="A685" s="92"/>
      <c r="B685" s="92"/>
      <c r="C685" s="92"/>
      <c r="D685" s="92"/>
      <c r="E685" s="92"/>
      <c r="F685" s="92"/>
      <c r="G685" s="92"/>
      <c r="H685" s="92"/>
      <c r="I685" s="92"/>
      <c r="J685" s="92"/>
      <c r="K685" s="92"/>
      <c r="L685" s="92"/>
      <c r="M685" s="92"/>
      <c r="N685" s="92"/>
      <c r="O685" s="92"/>
      <c r="P685" s="92"/>
      <c r="Q685" s="92"/>
      <c r="R685" s="92"/>
      <c r="S685" s="92"/>
      <c r="T685" s="92"/>
      <c r="U685" s="92"/>
      <c r="V685" s="92"/>
      <c r="W685" s="92"/>
      <c r="X685" s="92"/>
      <c r="Y685" s="92"/>
      <c r="Z685" s="92"/>
    </row>
    <row r="686" spans="1:26" hidden="1">
      <c r="A686" s="92"/>
      <c r="B686" s="92"/>
      <c r="C686" s="92"/>
      <c r="D686" s="92"/>
      <c r="E686" s="92"/>
      <c r="F686" s="92"/>
      <c r="G686" s="92"/>
      <c r="H686" s="92"/>
      <c r="I686" s="92"/>
      <c r="J686" s="92"/>
      <c r="K686" s="92"/>
      <c r="L686" s="92"/>
      <c r="M686" s="92"/>
      <c r="N686" s="92"/>
      <c r="O686" s="92"/>
      <c r="P686" s="92"/>
      <c r="Q686" s="92"/>
      <c r="R686" s="92"/>
      <c r="S686" s="92"/>
      <c r="T686" s="92"/>
      <c r="U686" s="92"/>
      <c r="V686" s="92"/>
      <c r="W686" s="92"/>
      <c r="X686" s="92"/>
      <c r="Y686" s="92"/>
      <c r="Z686" s="92"/>
    </row>
    <row r="687" spans="1:26" hidden="1">
      <c r="A687" s="92"/>
      <c r="B687" s="92"/>
      <c r="C687" s="92"/>
      <c r="D687" s="92"/>
      <c r="E687" s="92"/>
      <c r="F687" s="92"/>
      <c r="G687" s="92"/>
      <c r="H687" s="92"/>
      <c r="I687" s="92"/>
      <c r="J687" s="92"/>
      <c r="K687" s="92"/>
      <c r="L687" s="92"/>
      <c r="M687" s="92"/>
      <c r="N687" s="92"/>
      <c r="O687" s="92"/>
      <c r="P687" s="92"/>
      <c r="Q687" s="92"/>
      <c r="R687" s="92"/>
      <c r="S687" s="92"/>
      <c r="T687" s="92"/>
      <c r="U687" s="92"/>
      <c r="V687" s="92"/>
      <c r="W687" s="92"/>
      <c r="X687" s="92"/>
      <c r="Y687" s="92"/>
      <c r="Z687" s="92"/>
    </row>
    <row r="688" spans="1:26" hidden="1">
      <c r="A688" s="92"/>
      <c r="B688" s="92"/>
      <c r="C688" s="92"/>
      <c r="D688" s="92"/>
      <c r="E688" s="92"/>
      <c r="F688" s="92"/>
      <c r="G688" s="92"/>
      <c r="H688" s="92"/>
      <c r="I688" s="92"/>
      <c r="J688" s="92"/>
      <c r="K688" s="92"/>
      <c r="L688" s="92"/>
      <c r="M688" s="92"/>
      <c r="N688" s="92"/>
      <c r="O688" s="92"/>
      <c r="P688" s="92"/>
      <c r="Q688" s="92"/>
      <c r="R688" s="92"/>
      <c r="S688" s="92"/>
      <c r="T688" s="92"/>
      <c r="U688" s="92"/>
      <c r="V688" s="92"/>
      <c r="W688" s="92"/>
      <c r="X688" s="92"/>
      <c r="Y688" s="92"/>
      <c r="Z688" s="92"/>
    </row>
    <row r="689" spans="1:26" hidden="1">
      <c r="A689" s="92"/>
      <c r="B689" s="92"/>
      <c r="C689" s="92"/>
      <c r="D689" s="92"/>
      <c r="E689" s="92"/>
      <c r="F689" s="92"/>
      <c r="G689" s="92"/>
      <c r="H689" s="92"/>
      <c r="I689" s="92"/>
      <c r="J689" s="92"/>
      <c r="K689" s="92"/>
      <c r="L689" s="92"/>
      <c r="M689" s="92"/>
      <c r="N689" s="92"/>
      <c r="O689" s="92"/>
      <c r="P689" s="92"/>
      <c r="Q689" s="92"/>
      <c r="R689" s="92"/>
      <c r="S689" s="92"/>
      <c r="T689" s="92"/>
      <c r="U689" s="92"/>
      <c r="V689" s="92"/>
      <c r="W689" s="92"/>
      <c r="X689" s="92"/>
      <c r="Y689" s="92"/>
      <c r="Z689" s="92"/>
    </row>
    <row r="690" spans="1:26" hidden="1">
      <c r="A690" s="92"/>
      <c r="B690" s="92"/>
      <c r="C690" s="92"/>
      <c r="D690" s="92"/>
      <c r="E690" s="92"/>
      <c r="F690" s="92"/>
      <c r="G690" s="92"/>
      <c r="H690" s="92"/>
      <c r="I690" s="92"/>
      <c r="J690" s="92"/>
      <c r="K690" s="92"/>
      <c r="L690" s="92"/>
      <c r="M690" s="92"/>
      <c r="N690" s="92"/>
      <c r="O690" s="92"/>
      <c r="P690" s="92"/>
      <c r="Q690" s="92"/>
      <c r="R690" s="92"/>
      <c r="S690" s="92"/>
      <c r="T690" s="92"/>
      <c r="U690" s="92"/>
      <c r="V690" s="92"/>
      <c r="W690" s="92"/>
      <c r="X690" s="92"/>
      <c r="Y690" s="92"/>
      <c r="Z690" s="92"/>
    </row>
    <row r="691" spans="1:26" hidden="1">
      <c r="A691" s="92"/>
      <c r="B691" s="92"/>
      <c r="C691" s="92"/>
      <c r="D691" s="92"/>
      <c r="E691" s="92"/>
      <c r="F691" s="92"/>
      <c r="G691" s="92"/>
      <c r="H691" s="92"/>
      <c r="I691" s="92"/>
      <c r="J691" s="92"/>
      <c r="K691" s="92"/>
      <c r="L691" s="92"/>
      <c r="M691" s="92"/>
      <c r="N691" s="92"/>
      <c r="O691" s="92"/>
      <c r="P691" s="92"/>
      <c r="Q691" s="92"/>
      <c r="R691" s="92"/>
      <c r="S691" s="92"/>
      <c r="T691" s="92"/>
      <c r="U691" s="92"/>
      <c r="V691" s="92"/>
      <c r="W691" s="92"/>
      <c r="X691" s="92"/>
      <c r="Y691" s="92"/>
      <c r="Z691" s="92"/>
    </row>
    <row r="692" spans="1:26" hidden="1">
      <c r="A692" s="92"/>
      <c r="B692" s="92"/>
      <c r="C692" s="92"/>
      <c r="D692" s="92"/>
      <c r="E692" s="92"/>
      <c r="F692" s="92"/>
      <c r="G692" s="92"/>
      <c r="H692" s="92"/>
      <c r="I692" s="92"/>
      <c r="J692" s="92"/>
      <c r="K692" s="92"/>
      <c r="L692" s="92"/>
      <c r="M692" s="92"/>
      <c r="N692" s="92"/>
      <c r="O692" s="92"/>
      <c r="P692" s="92"/>
      <c r="Q692" s="92"/>
      <c r="R692" s="92"/>
      <c r="S692" s="92"/>
      <c r="T692" s="92"/>
      <c r="U692" s="92"/>
      <c r="V692" s="92"/>
      <c r="W692" s="92"/>
      <c r="X692" s="92"/>
      <c r="Y692" s="92"/>
      <c r="Z692" s="92"/>
    </row>
    <row r="693" spans="1:26" hidden="1">
      <c r="A693" s="92"/>
      <c r="B693" s="92"/>
      <c r="C693" s="92"/>
      <c r="D693" s="92"/>
      <c r="E693" s="92"/>
      <c r="F693" s="92"/>
      <c r="G693" s="92"/>
      <c r="H693" s="92"/>
      <c r="I693" s="92"/>
      <c r="J693" s="92"/>
      <c r="K693" s="92"/>
      <c r="L693" s="92"/>
      <c r="M693" s="92"/>
      <c r="N693" s="92"/>
      <c r="O693" s="92"/>
      <c r="P693" s="92"/>
      <c r="Q693" s="92"/>
      <c r="R693" s="92"/>
      <c r="S693" s="92"/>
      <c r="T693" s="92"/>
      <c r="U693" s="92"/>
      <c r="V693" s="92"/>
      <c r="W693" s="92"/>
      <c r="X693" s="92"/>
      <c r="Y693" s="92"/>
      <c r="Z693" s="92"/>
    </row>
    <row r="694" spans="1:26" hidden="1">
      <c r="A694" s="92"/>
      <c r="B694" s="92"/>
      <c r="C694" s="92"/>
      <c r="D694" s="92"/>
      <c r="E694" s="92"/>
      <c r="F694" s="92"/>
      <c r="G694" s="92"/>
      <c r="H694" s="92"/>
      <c r="I694" s="92"/>
      <c r="J694" s="92"/>
      <c r="K694" s="92"/>
      <c r="L694" s="92"/>
      <c r="M694" s="92"/>
      <c r="N694" s="92"/>
      <c r="O694" s="92"/>
      <c r="P694" s="92"/>
      <c r="Q694" s="92"/>
      <c r="R694" s="92"/>
      <c r="S694" s="92"/>
      <c r="T694" s="92"/>
      <c r="U694" s="92"/>
      <c r="V694" s="92"/>
      <c r="W694" s="92"/>
      <c r="X694" s="92"/>
      <c r="Y694" s="92"/>
      <c r="Z694" s="92"/>
    </row>
    <row r="695" spans="1:26" hidden="1">
      <c r="A695" s="92"/>
      <c r="B695" s="92"/>
      <c r="C695" s="92"/>
      <c r="D695" s="92"/>
      <c r="E695" s="92"/>
      <c r="F695" s="92"/>
      <c r="G695" s="92"/>
      <c r="H695" s="92"/>
      <c r="I695" s="92"/>
      <c r="J695" s="92"/>
      <c r="K695" s="92"/>
      <c r="L695" s="92"/>
      <c r="M695" s="92"/>
      <c r="N695" s="92"/>
      <c r="O695" s="92"/>
      <c r="P695" s="92"/>
      <c r="Q695" s="92"/>
      <c r="R695" s="92"/>
      <c r="S695" s="92"/>
      <c r="T695" s="92"/>
      <c r="U695" s="92"/>
      <c r="V695" s="92"/>
      <c r="W695" s="92"/>
      <c r="X695" s="92"/>
      <c r="Y695" s="92"/>
      <c r="Z695" s="92"/>
    </row>
    <row r="696" spans="1:26" hidden="1">
      <c r="A696" s="92"/>
      <c r="B696" s="92"/>
      <c r="C696" s="92"/>
      <c r="D696" s="92"/>
      <c r="E696" s="92"/>
      <c r="F696" s="92"/>
      <c r="G696" s="92"/>
      <c r="H696" s="92"/>
      <c r="I696" s="92"/>
      <c r="J696" s="92"/>
      <c r="K696" s="92"/>
      <c r="L696" s="92"/>
      <c r="M696" s="92"/>
      <c r="N696" s="92"/>
      <c r="O696" s="92"/>
      <c r="P696" s="92"/>
      <c r="Q696" s="92"/>
      <c r="R696" s="92"/>
      <c r="S696" s="92"/>
      <c r="T696" s="92"/>
      <c r="U696" s="92"/>
      <c r="V696" s="92"/>
      <c r="W696" s="92"/>
      <c r="X696" s="92"/>
      <c r="Y696" s="92"/>
      <c r="Z696" s="92"/>
    </row>
    <row r="697" spans="1:26" hidden="1">
      <c r="A697" s="92"/>
      <c r="B697" s="92"/>
      <c r="C697" s="92"/>
      <c r="D697" s="92"/>
      <c r="E697" s="92"/>
      <c r="F697" s="92"/>
      <c r="G697" s="92"/>
      <c r="H697" s="92"/>
      <c r="I697" s="92"/>
      <c r="J697" s="92"/>
      <c r="K697" s="92"/>
      <c r="L697" s="92"/>
      <c r="M697" s="92"/>
      <c r="N697" s="92"/>
      <c r="O697" s="92"/>
      <c r="P697" s="92"/>
      <c r="Q697" s="92"/>
      <c r="R697" s="92"/>
      <c r="S697" s="92"/>
      <c r="T697" s="92"/>
      <c r="U697" s="92"/>
      <c r="V697" s="92"/>
      <c r="W697" s="92"/>
      <c r="X697" s="92"/>
      <c r="Y697" s="92"/>
      <c r="Z697" s="92"/>
    </row>
    <row r="698" spans="1:26" hidden="1">
      <c r="A698" s="92"/>
      <c r="B698" s="92"/>
      <c r="C698" s="92"/>
      <c r="D698" s="92"/>
      <c r="E698" s="92"/>
      <c r="F698" s="92"/>
      <c r="G698" s="92"/>
      <c r="H698" s="92"/>
      <c r="I698" s="92"/>
      <c r="J698" s="92"/>
      <c r="K698" s="92"/>
      <c r="L698" s="92"/>
      <c r="M698" s="92"/>
      <c r="N698" s="92"/>
      <c r="O698" s="92"/>
      <c r="P698" s="92"/>
      <c r="Q698" s="92"/>
      <c r="R698" s="92"/>
      <c r="S698" s="92"/>
      <c r="T698" s="92"/>
      <c r="U698" s="92"/>
      <c r="V698" s="92"/>
      <c r="W698" s="92"/>
      <c r="X698" s="92"/>
      <c r="Y698" s="92"/>
      <c r="Z698" s="92"/>
    </row>
    <row r="699" spans="1:26" hidden="1">
      <c r="A699" s="92"/>
      <c r="B699" s="92"/>
      <c r="C699" s="92"/>
      <c r="D699" s="92"/>
      <c r="E699" s="92"/>
      <c r="F699" s="92"/>
      <c r="G699" s="92"/>
      <c r="H699" s="92"/>
      <c r="I699" s="92"/>
      <c r="J699" s="92"/>
      <c r="K699" s="92"/>
      <c r="L699" s="92"/>
      <c r="M699" s="92"/>
      <c r="N699" s="92"/>
      <c r="O699" s="92"/>
      <c r="P699" s="92"/>
      <c r="Q699" s="92"/>
      <c r="R699" s="92"/>
      <c r="S699" s="92"/>
      <c r="T699" s="92"/>
      <c r="U699" s="92"/>
      <c r="V699" s="92"/>
      <c r="W699" s="92"/>
      <c r="X699" s="92"/>
      <c r="Y699" s="92"/>
      <c r="Z699" s="92"/>
    </row>
    <row r="700" spans="1:26" hidden="1">
      <c r="A700" s="92"/>
      <c r="B700" s="92"/>
      <c r="C700" s="92"/>
      <c r="D700" s="92"/>
      <c r="E700" s="92"/>
      <c r="F700" s="92"/>
      <c r="G700" s="92"/>
      <c r="H700" s="92"/>
      <c r="I700" s="92"/>
      <c r="J700" s="92"/>
      <c r="K700" s="92"/>
      <c r="L700" s="92"/>
      <c r="M700" s="92"/>
      <c r="N700" s="92"/>
      <c r="O700" s="92"/>
      <c r="P700" s="92"/>
      <c r="Q700" s="92"/>
      <c r="R700" s="92"/>
      <c r="S700" s="92"/>
      <c r="T700" s="92"/>
      <c r="U700" s="92"/>
      <c r="V700" s="92"/>
      <c r="W700" s="92"/>
      <c r="X700" s="92"/>
      <c r="Y700" s="92"/>
      <c r="Z700" s="92"/>
    </row>
    <row r="701" spans="1:26" hidden="1">
      <c r="A701" s="92"/>
      <c r="B701" s="92"/>
      <c r="C701" s="92"/>
      <c r="D701" s="92"/>
      <c r="E701" s="92"/>
      <c r="F701" s="92"/>
      <c r="G701" s="92"/>
      <c r="H701" s="92"/>
      <c r="I701" s="92"/>
      <c r="J701" s="92"/>
      <c r="K701" s="92"/>
      <c r="L701" s="92"/>
      <c r="M701" s="92"/>
      <c r="N701" s="92"/>
      <c r="O701" s="92"/>
      <c r="P701" s="92"/>
      <c r="Q701" s="92"/>
      <c r="R701" s="92"/>
      <c r="S701" s="92"/>
      <c r="T701" s="92"/>
      <c r="U701" s="92"/>
      <c r="V701" s="92"/>
      <c r="W701" s="92"/>
      <c r="X701" s="92"/>
      <c r="Y701" s="92"/>
      <c r="Z701" s="92"/>
    </row>
    <row r="702" spans="1:26" hidden="1">
      <c r="A702" s="92"/>
      <c r="B702" s="92"/>
      <c r="C702" s="92"/>
      <c r="D702" s="92"/>
      <c r="E702" s="92"/>
      <c r="F702" s="92"/>
      <c r="G702" s="92"/>
      <c r="H702" s="92"/>
      <c r="I702" s="92"/>
      <c r="J702" s="92"/>
      <c r="K702" s="92"/>
      <c r="L702" s="92"/>
      <c r="M702" s="92"/>
      <c r="N702" s="92"/>
      <c r="O702" s="92"/>
      <c r="P702" s="92"/>
      <c r="Q702" s="92"/>
      <c r="R702" s="92"/>
      <c r="S702" s="92"/>
      <c r="T702" s="92"/>
      <c r="U702" s="92"/>
      <c r="V702" s="92"/>
      <c r="W702" s="92"/>
      <c r="X702" s="92"/>
      <c r="Y702" s="92"/>
      <c r="Z702" s="92"/>
    </row>
    <row r="703" spans="1:26" hidden="1">
      <c r="A703" s="92"/>
      <c r="B703" s="92"/>
      <c r="C703" s="92"/>
      <c r="D703" s="92"/>
      <c r="E703" s="92"/>
      <c r="F703" s="92"/>
      <c r="G703" s="92"/>
      <c r="H703" s="92"/>
      <c r="I703" s="92"/>
      <c r="J703" s="92"/>
      <c r="K703" s="92"/>
      <c r="L703" s="92"/>
      <c r="M703" s="92"/>
      <c r="N703" s="92"/>
      <c r="O703" s="92"/>
      <c r="P703" s="92"/>
      <c r="Q703" s="92"/>
      <c r="R703" s="92"/>
      <c r="S703" s="92"/>
      <c r="T703" s="92"/>
      <c r="U703" s="92"/>
      <c r="V703" s="92"/>
      <c r="W703" s="92"/>
      <c r="X703" s="92"/>
      <c r="Y703" s="92"/>
      <c r="Z703" s="92"/>
    </row>
    <row r="704" spans="1:26" hidden="1">
      <c r="A704" s="92"/>
      <c r="B704" s="92"/>
      <c r="C704" s="92"/>
      <c r="D704" s="92"/>
      <c r="E704" s="92"/>
      <c r="F704" s="92"/>
      <c r="G704" s="92"/>
      <c r="H704" s="92"/>
      <c r="I704" s="92"/>
      <c r="J704" s="92"/>
      <c r="K704" s="92"/>
      <c r="L704" s="92"/>
      <c r="M704" s="92"/>
      <c r="N704" s="92"/>
      <c r="O704" s="92"/>
      <c r="P704" s="92"/>
      <c r="Q704" s="92"/>
      <c r="R704" s="92"/>
      <c r="S704" s="92"/>
      <c r="T704" s="92"/>
      <c r="U704" s="92"/>
      <c r="V704" s="92"/>
      <c r="W704" s="92"/>
      <c r="X704" s="92"/>
      <c r="Y704" s="92"/>
      <c r="Z704" s="92"/>
    </row>
    <row r="705" spans="1:26" hidden="1">
      <c r="A705" s="92"/>
      <c r="B705" s="92"/>
      <c r="C705" s="92"/>
      <c r="D705" s="92"/>
      <c r="E705" s="92"/>
      <c r="F705" s="92"/>
      <c r="G705" s="92"/>
      <c r="H705" s="92"/>
      <c r="I705" s="92"/>
      <c r="J705" s="92"/>
      <c r="K705" s="92"/>
      <c r="L705" s="92"/>
      <c r="M705" s="92"/>
      <c r="N705" s="92"/>
      <c r="O705" s="92"/>
      <c r="P705" s="92"/>
      <c r="Q705" s="92"/>
      <c r="R705" s="92"/>
      <c r="S705" s="92"/>
      <c r="T705" s="92"/>
      <c r="U705" s="92"/>
      <c r="V705" s="92"/>
      <c r="W705" s="92"/>
      <c r="X705" s="92"/>
      <c r="Y705" s="92"/>
      <c r="Z705" s="92"/>
    </row>
    <row r="706" spans="1:26" hidden="1">
      <c r="A706" s="92"/>
      <c r="B706" s="92"/>
      <c r="C706" s="92"/>
      <c r="D706" s="92"/>
      <c r="E706" s="92"/>
      <c r="F706" s="92"/>
      <c r="G706" s="92"/>
      <c r="H706" s="92"/>
      <c r="I706" s="92"/>
      <c r="J706" s="92"/>
      <c r="K706" s="92"/>
      <c r="L706" s="92"/>
      <c r="M706" s="92"/>
      <c r="N706" s="92"/>
      <c r="O706" s="92"/>
      <c r="P706" s="92"/>
      <c r="Q706" s="92"/>
      <c r="R706" s="92"/>
      <c r="S706" s="92"/>
      <c r="T706" s="92"/>
      <c r="U706" s="92"/>
      <c r="V706" s="92"/>
      <c r="W706" s="92"/>
      <c r="X706" s="92"/>
      <c r="Y706" s="92"/>
      <c r="Z706" s="92"/>
    </row>
    <row r="707" spans="1:26" hidden="1">
      <c r="A707" s="92"/>
      <c r="B707" s="92"/>
      <c r="C707" s="92"/>
      <c r="D707" s="92"/>
      <c r="E707" s="92"/>
      <c r="F707" s="92"/>
      <c r="G707" s="92"/>
      <c r="H707" s="92"/>
      <c r="I707" s="92"/>
      <c r="J707" s="92"/>
      <c r="K707" s="92"/>
      <c r="L707" s="92"/>
      <c r="M707" s="92"/>
      <c r="N707" s="92"/>
      <c r="O707" s="92"/>
      <c r="P707" s="92"/>
      <c r="Q707" s="92"/>
      <c r="R707" s="92"/>
      <c r="S707" s="92"/>
      <c r="T707" s="92"/>
      <c r="U707" s="92"/>
      <c r="V707" s="92"/>
      <c r="W707" s="92"/>
      <c r="X707" s="92"/>
      <c r="Y707" s="92"/>
      <c r="Z707" s="92"/>
    </row>
    <row r="708" spans="1:26" hidden="1">
      <c r="A708" s="92"/>
      <c r="B708" s="92"/>
      <c r="C708" s="92"/>
      <c r="D708" s="92"/>
      <c r="E708" s="92"/>
      <c r="F708" s="92"/>
      <c r="G708" s="92"/>
      <c r="H708" s="92"/>
      <c r="I708" s="92"/>
      <c r="J708" s="92"/>
      <c r="K708" s="92"/>
      <c r="L708" s="92"/>
      <c r="M708" s="92"/>
      <c r="N708" s="92"/>
      <c r="O708" s="92"/>
      <c r="P708" s="92"/>
      <c r="Q708" s="92"/>
      <c r="R708" s="92"/>
      <c r="S708" s="92"/>
      <c r="T708" s="92"/>
      <c r="U708" s="92"/>
      <c r="V708" s="92"/>
      <c r="W708" s="92"/>
      <c r="X708" s="92"/>
      <c r="Y708" s="92"/>
      <c r="Z708" s="92"/>
    </row>
    <row r="709" spans="1:26" hidden="1">
      <c r="A709" s="92"/>
      <c r="B709" s="92"/>
      <c r="C709" s="92"/>
      <c r="D709" s="92"/>
      <c r="E709" s="92"/>
      <c r="F709" s="92"/>
      <c r="G709" s="92"/>
      <c r="H709" s="92"/>
      <c r="I709" s="92"/>
      <c r="J709" s="92"/>
      <c r="K709" s="92"/>
      <c r="L709" s="92"/>
      <c r="M709" s="92"/>
      <c r="N709" s="92"/>
      <c r="O709" s="92"/>
      <c r="P709" s="92"/>
      <c r="Q709" s="92"/>
      <c r="R709" s="92"/>
      <c r="S709" s="92"/>
      <c r="T709" s="92"/>
      <c r="U709" s="92"/>
      <c r="V709" s="92"/>
      <c r="W709" s="92"/>
      <c r="X709" s="92"/>
      <c r="Y709" s="92"/>
      <c r="Z709" s="92"/>
    </row>
    <row r="710" spans="1:26" hidden="1">
      <c r="A710" s="92"/>
      <c r="B710" s="92"/>
      <c r="C710" s="92"/>
      <c r="D710" s="92"/>
      <c r="E710" s="92"/>
      <c r="F710" s="92"/>
      <c r="G710" s="92"/>
      <c r="H710" s="92"/>
      <c r="I710" s="92"/>
      <c r="J710" s="92"/>
      <c r="K710" s="92"/>
      <c r="L710" s="92"/>
      <c r="M710" s="92"/>
      <c r="N710" s="92"/>
      <c r="O710" s="92"/>
      <c r="P710" s="92"/>
      <c r="Q710" s="92"/>
      <c r="R710" s="92"/>
      <c r="S710" s="92"/>
      <c r="T710" s="92"/>
      <c r="U710" s="92"/>
      <c r="V710" s="92"/>
      <c r="W710" s="92"/>
      <c r="X710" s="92"/>
      <c r="Y710" s="92"/>
      <c r="Z710" s="92"/>
    </row>
    <row r="711" spans="1:26" hidden="1">
      <c r="A711" s="92"/>
      <c r="B711" s="92"/>
      <c r="C711" s="92"/>
      <c r="D711" s="92"/>
      <c r="E711" s="92"/>
      <c r="F711" s="92"/>
      <c r="G711" s="92"/>
      <c r="H711" s="92"/>
      <c r="I711" s="92"/>
      <c r="J711" s="92"/>
      <c r="K711" s="92"/>
      <c r="L711" s="92"/>
      <c r="M711" s="92"/>
      <c r="N711" s="92"/>
      <c r="O711" s="92"/>
      <c r="P711" s="92"/>
      <c r="Q711" s="92"/>
      <c r="R711" s="92"/>
      <c r="S711" s="92"/>
      <c r="T711" s="92"/>
      <c r="U711" s="92"/>
      <c r="V711" s="92"/>
      <c r="W711" s="92"/>
      <c r="X711" s="92"/>
      <c r="Y711" s="92"/>
      <c r="Z711" s="92"/>
    </row>
    <row r="712" spans="1:26" hidden="1">
      <c r="A712" s="92"/>
      <c r="B712" s="92"/>
      <c r="C712" s="92"/>
      <c r="D712" s="92"/>
      <c r="E712" s="92"/>
      <c r="F712" s="92"/>
      <c r="G712" s="92"/>
      <c r="H712" s="92"/>
      <c r="I712" s="92"/>
      <c r="J712" s="92"/>
      <c r="K712" s="92"/>
      <c r="L712" s="92"/>
      <c r="M712" s="92"/>
      <c r="N712" s="92"/>
      <c r="O712" s="92"/>
      <c r="P712" s="92"/>
      <c r="Q712" s="92"/>
      <c r="R712" s="92"/>
      <c r="S712" s="92"/>
      <c r="T712" s="92"/>
      <c r="U712" s="92"/>
      <c r="V712" s="92"/>
      <c r="W712" s="92"/>
      <c r="X712" s="92"/>
      <c r="Y712" s="92"/>
      <c r="Z712" s="92"/>
    </row>
    <row r="713" spans="1:26" hidden="1">
      <c r="A713" s="92"/>
      <c r="B713" s="92"/>
      <c r="C713" s="92"/>
      <c r="D713" s="92"/>
      <c r="E713" s="92"/>
      <c r="F713" s="92"/>
      <c r="G713" s="92"/>
      <c r="H713" s="92"/>
      <c r="I713" s="92"/>
      <c r="J713" s="92"/>
      <c r="K713" s="92"/>
      <c r="L713" s="92"/>
      <c r="M713" s="92"/>
      <c r="N713" s="92"/>
      <c r="O713" s="92"/>
      <c r="P713" s="92"/>
      <c r="Q713" s="92"/>
      <c r="R713" s="92"/>
      <c r="S713" s="92"/>
      <c r="T713" s="92"/>
      <c r="U713" s="92"/>
      <c r="V713" s="92"/>
      <c r="W713" s="92"/>
      <c r="X713" s="92"/>
      <c r="Y713" s="92"/>
      <c r="Z713" s="92"/>
    </row>
    <row r="714" spans="1:26" hidden="1">
      <c r="A714" s="92"/>
      <c r="B714" s="92"/>
      <c r="C714" s="92"/>
      <c r="D714" s="92"/>
      <c r="E714" s="92"/>
      <c r="F714" s="92"/>
      <c r="G714" s="92"/>
      <c r="H714" s="92"/>
      <c r="I714" s="92"/>
      <c r="J714" s="92"/>
      <c r="K714" s="92"/>
      <c r="L714" s="92"/>
      <c r="M714" s="92"/>
      <c r="N714" s="92"/>
      <c r="O714" s="92"/>
      <c r="P714" s="92"/>
      <c r="Q714" s="92"/>
      <c r="R714" s="92"/>
      <c r="S714" s="92"/>
      <c r="T714" s="92"/>
      <c r="U714" s="92"/>
      <c r="V714" s="92"/>
      <c r="W714" s="92"/>
      <c r="X714" s="92"/>
      <c r="Y714" s="92"/>
      <c r="Z714" s="92"/>
    </row>
    <row r="715" spans="1:26" hidden="1">
      <c r="A715" s="92"/>
      <c r="B715" s="92"/>
      <c r="C715" s="92"/>
      <c r="D715" s="92"/>
      <c r="E715" s="92"/>
      <c r="F715" s="92"/>
      <c r="G715" s="92"/>
      <c r="H715" s="92"/>
      <c r="I715" s="92"/>
      <c r="J715" s="92"/>
      <c r="K715" s="92"/>
      <c r="L715" s="92"/>
      <c r="M715" s="92"/>
      <c r="N715" s="92"/>
      <c r="O715" s="92"/>
      <c r="P715" s="92"/>
      <c r="Q715" s="92"/>
      <c r="R715" s="92"/>
      <c r="S715" s="92"/>
      <c r="T715" s="92"/>
      <c r="U715" s="92"/>
      <c r="V715" s="92"/>
      <c r="W715" s="92"/>
      <c r="X715" s="92"/>
      <c r="Y715" s="92"/>
      <c r="Z715" s="92"/>
    </row>
    <row r="716" spans="1:26" hidden="1">
      <c r="A716" s="92"/>
      <c r="B716" s="92"/>
      <c r="C716" s="92"/>
      <c r="D716" s="92"/>
      <c r="E716" s="92"/>
      <c r="F716" s="92"/>
      <c r="G716" s="92"/>
      <c r="H716" s="92"/>
      <c r="I716" s="92"/>
      <c r="J716" s="92"/>
      <c r="K716" s="92"/>
      <c r="L716" s="92"/>
      <c r="M716" s="92"/>
      <c r="N716" s="92"/>
      <c r="O716" s="92"/>
      <c r="P716" s="92"/>
      <c r="Q716" s="92"/>
      <c r="R716" s="92"/>
      <c r="S716" s="92"/>
      <c r="T716" s="92"/>
      <c r="U716" s="92"/>
      <c r="V716" s="92"/>
      <c r="W716" s="92"/>
      <c r="X716" s="92"/>
      <c r="Y716" s="92"/>
      <c r="Z716" s="92"/>
    </row>
    <row r="717" spans="1:26" hidden="1">
      <c r="A717" s="92"/>
      <c r="B717" s="92"/>
      <c r="C717" s="92"/>
      <c r="D717" s="92"/>
      <c r="E717" s="92"/>
      <c r="F717" s="92"/>
      <c r="G717" s="92"/>
      <c r="H717" s="92"/>
      <c r="I717" s="92"/>
      <c r="J717" s="92"/>
      <c r="K717" s="92"/>
      <c r="L717" s="92"/>
      <c r="M717" s="92"/>
      <c r="N717" s="92"/>
      <c r="O717" s="92"/>
      <c r="P717" s="92"/>
      <c r="Q717" s="92"/>
      <c r="R717" s="92"/>
      <c r="S717" s="92"/>
      <c r="T717" s="92"/>
      <c r="U717" s="92"/>
      <c r="V717" s="92"/>
      <c r="W717" s="92"/>
      <c r="X717" s="92"/>
      <c r="Y717" s="92"/>
      <c r="Z717" s="92"/>
    </row>
    <row r="718" spans="1:26" hidden="1">
      <c r="A718" s="92"/>
      <c r="B718" s="92"/>
      <c r="C718" s="92"/>
      <c r="D718" s="92"/>
      <c r="E718" s="92"/>
      <c r="F718" s="92"/>
      <c r="G718" s="92"/>
      <c r="H718" s="92"/>
      <c r="I718" s="92"/>
      <c r="J718" s="92"/>
      <c r="K718" s="92"/>
      <c r="L718" s="92"/>
      <c r="M718" s="92"/>
      <c r="N718" s="92"/>
      <c r="O718" s="92"/>
      <c r="P718" s="92"/>
      <c r="Q718" s="92"/>
      <c r="R718" s="92"/>
      <c r="S718" s="92"/>
      <c r="T718" s="92"/>
      <c r="U718" s="92"/>
      <c r="V718" s="92"/>
      <c r="W718" s="92"/>
      <c r="X718" s="92"/>
      <c r="Y718" s="92"/>
      <c r="Z718" s="92"/>
    </row>
    <row r="719" spans="1:26" hidden="1">
      <c r="A719" s="92"/>
      <c r="B719" s="92"/>
      <c r="C719" s="92"/>
      <c r="D719" s="92"/>
      <c r="E719" s="92"/>
      <c r="F719" s="92"/>
      <c r="G719" s="92"/>
      <c r="H719" s="92"/>
      <c r="I719" s="92"/>
      <c r="J719" s="92"/>
      <c r="K719" s="92"/>
      <c r="L719" s="92"/>
      <c r="M719" s="92"/>
      <c r="N719" s="92"/>
      <c r="O719" s="92"/>
      <c r="P719" s="92"/>
      <c r="Q719" s="92"/>
      <c r="R719" s="92"/>
      <c r="S719" s="92"/>
      <c r="T719" s="92"/>
      <c r="U719" s="92"/>
      <c r="V719" s="92"/>
      <c r="W719" s="92"/>
      <c r="X719" s="92"/>
      <c r="Y719" s="92"/>
      <c r="Z719" s="92"/>
    </row>
    <row r="720" spans="1:26" hidden="1">
      <c r="A720" s="92"/>
      <c r="B720" s="92"/>
      <c r="C720" s="92"/>
      <c r="D720" s="92"/>
      <c r="E720" s="92"/>
      <c r="F720" s="92"/>
      <c r="G720" s="92"/>
      <c r="H720" s="92"/>
      <c r="I720" s="92"/>
      <c r="J720" s="92"/>
      <c r="K720" s="92"/>
      <c r="L720" s="92"/>
      <c r="M720" s="92"/>
      <c r="N720" s="92"/>
      <c r="O720" s="92"/>
      <c r="P720" s="92"/>
      <c r="Q720" s="92"/>
      <c r="R720" s="92"/>
      <c r="S720" s="92"/>
      <c r="T720" s="92"/>
      <c r="U720" s="92"/>
      <c r="V720" s="92"/>
      <c r="W720" s="92"/>
      <c r="X720" s="92"/>
      <c r="Y720" s="92"/>
      <c r="Z720" s="92"/>
    </row>
    <row r="721" spans="1:26" hidden="1">
      <c r="A721" s="92"/>
      <c r="B721" s="92"/>
      <c r="C721" s="92"/>
      <c r="D721" s="92"/>
      <c r="E721" s="92"/>
      <c r="F721" s="92"/>
      <c r="G721" s="92"/>
      <c r="H721" s="92"/>
      <c r="I721" s="92"/>
      <c r="J721" s="92"/>
      <c r="K721" s="92"/>
      <c r="L721" s="92"/>
      <c r="M721" s="92"/>
      <c r="N721" s="92"/>
      <c r="O721" s="92"/>
      <c r="P721" s="92"/>
      <c r="Q721" s="92"/>
      <c r="R721" s="92"/>
      <c r="S721" s="92"/>
      <c r="T721" s="92"/>
      <c r="U721" s="92"/>
      <c r="V721" s="92"/>
      <c r="W721" s="92"/>
      <c r="X721" s="92"/>
      <c r="Y721" s="92"/>
      <c r="Z721" s="92"/>
    </row>
    <row r="722" spans="1:26" hidden="1">
      <c r="A722" s="92"/>
      <c r="B722" s="92"/>
      <c r="C722" s="92"/>
      <c r="D722" s="92"/>
      <c r="E722" s="92"/>
      <c r="F722" s="92"/>
      <c r="G722" s="92"/>
      <c r="H722" s="92"/>
      <c r="I722" s="92"/>
      <c r="J722" s="92"/>
      <c r="K722" s="92"/>
      <c r="L722" s="92"/>
      <c r="M722" s="92"/>
      <c r="N722" s="92"/>
      <c r="O722" s="92"/>
      <c r="P722" s="92"/>
      <c r="Q722" s="92"/>
      <c r="R722" s="92"/>
      <c r="S722" s="92"/>
      <c r="T722" s="92"/>
      <c r="U722" s="92"/>
      <c r="V722" s="92"/>
      <c r="W722" s="92"/>
      <c r="X722" s="92"/>
      <c r="Y722" s="92"/>
      <c r="Z722" s="92"/>
    </row>
    <row r="723" spans="1:26" hidden="1">
      <c r="A723" s="92"/>
      <c r="B723" s="92"/>
      <c r="C723" s="92"/>
      <c r="D723" s="92"/>
      <c r="E723" s="92"/>
      <c r="F723" s="92"/>
      <c r="G723" s="92"/>
      <c r="H723" s="92"/>
      <c r="I723" s="92"/>
      <c r="J723" s="92"/>
      <c r="K723" s="92"/>
      <c r="L723" s="92"/>
      <c r="M723" s="92"/>
      <c r="N723" s="92"/>
      <c r="O723" s="92"/>
      <c r="P723" s="92"/>
      <c r="Q723" s="92"/>
      <c r="R723" s="92"/>
      <c r="S723" s="92"/>
      <c r="T723" s="92"/>
      <c r="U723" s="92"/>
      <c r="V723" s="92"/>
      <c r="W723" s="92"/>
      <c r="X723" s="92"/>
      <c r="Y723" s="92"/>
      <c r="Z723" s="92"/>
    </row>
    <row r="724" spans="1:26" hidden="1">
      <c r="A724" s="92"/>
      <c r="B724" s="92"/>
      <c r="C724" s="92"/>
      <c r="D724" s="92"/>
      <c r="E724" s="92"/>
      <c r="F724" s="92"/>
      <c r="G724" s="92"/>
      <c r="H724" s="92"/>
      <c r="I724" s="92"/>
      <c r="J724" s="92"/>
      <c r="K724" s="92"/>
      <c r="L724" s="92"/>
      <c r="M724" s="92"/>
      <c r="N724" s="92"/>
      <c r="O724" s="92"/>
      <c r="P724" s="92"/>
      <c r="Q724" s="92"/>
      <c r="R724" s="92"/>
      <c r="S724" s="92"/>
      <c r="T724" s="92"/>
      <c r="U724" s="92"/>
      <c r="V724" s="92"/>
      <c r="W724" s="92"/>
      <c r="X724" s="92"/>
      <c r="Y724" s="92"/>
      <c r="Z724" s="92"/>
    </row>
    <row r="725" spans="1:26" hidden="1">
      <c r="A725" s="92"/>
      <c r="B725" s="92"/>
      <c r="C725" s="92"/>
      <c r="D725" s="92"/>
      <c r="E725" s="92"/>
      <c r="F725" s="92"/>
      <c r="G725" s="92"/>
      <c r="H725" s="92"/>
      <c r="I725" s="92"/>
      <c r="J725" s="92"/>
      <c r="K725" s="92"/>
      <c r="L725" s="92"/>
      <c r="M725" s="92"/>
      <c r="N725" s="92"/>
      <c r="O725" s="92"/>
      <c r="P725" s="92"/>
      <c r="Q725" s="92"/>
      <c r="R725" s="92"/>
      <c r="S725" s="92"/>
      <c r="T725" s="92"/>
      <c r="U725" s="92"/>
      <c r="V725" s="92"/>
      <c r="W725" s="92"/>
      <c r="X725" s="92"/>
      <c r="Y725" s="92"/>
      <c r="Z725" s="92"/>
    </row>
    <row r="726" spans="1:26" hidden="1">
      <c r="A726" s="92"/>
      <c r="B726" s="92"/>
      <c r="C726" s="92"/>
      <c r="D726" s="92"/>
      <c r="E726" s="92"/>
      <c r="F726" s="92"/>
      <c r="G726" s="92"/>
      <c r="H726" s="92"/>
      <c r="I726" s="92"/>
      <c r="J726" s="92"/>
      <c r="K726" s="92"/>
      <c r="L726" s="92"/>
      <c r="M726" s="92"/>
      <c r="N726" s="92"/>
      <c r="O726" s="92"/>
      <c r="P726" s="92"/>
      <c r="Q726" s="92"/>
      <c r="R726" s="92"/>
      <c r="S726" s="92"/>
      <c r="T726" s="92"/>
      <c r="U726" s="92"/>
      <c r="V726" s="92"/>
      <c r="W726" s="92"/>
      <c r="X726" s="92"/>
      <c r="Y726" s="92"/>
      <c r="Z726" s="92"/>
    </row>
    <row r="727" spans="1:26" hidden="1">
      <c r="A727" s="92"/>
      <c r="B727" s="92"/>
      <c r="C727" s="92"/>
      <c r="D727" s="92"/>
      <c r="E727" s="92"/>
      <c r="F727" s="92"/>
      <c r="G727" s="92"/>
      <c r="H727" s="92"/>
      <c r="I727" s="92"/>
      <c r="J727" s="92"/>
      <c r="K727" s="92"/>
      <c r="L727" s="92"/>
      <c r="M727" s="92"/>
      <c r="N727" s="92"/>
      <c r="O727" s="92"/>
      <c r="P727" s="92"/>
      <c r="Q727" s="92"/>
      <c r="R727" s="92"/>
      <c r="S727" s="92"/>
      <c r="T727" s="92"/>
      <c r="U727" s="92"/>
      <c r="V727" s="92"/>
      <c r="W727" s="92"/>
      <c r="X727" s="92"/>
      <c r="Y727" s="92"/>
      <c r="Z727" s="92"/>
    </row>
    <row r="728" spans="1:26" hidden="1">
      <c r="A728" s="92"/>
      <c r="B728" s="92"/>
      <c r="C728" s="92"/>
      <c r="D728" s="92"/>
      <c r="E728" s="92"/>
      <c r="F728" s="92"/>
      <c r="G728" s="92"/>
      <c r="H728" s="92"/>
      <c r="I728" s="92"/>
      <c r="J728" s="92"/>
      <c r="K728" s="92"/>
      <c r="L728" s="92"/>
      <c r="M728" s="92"/>
      <c r="N728" s="92"/>
      <c r="O728" s="92"/>
      <c r="P728" s="92"/>
      <c r="Q728" s="92"/>
      <c r="R728" s="92"/>
      <c r="S728" s="92"/>
      <c r="T728" s="92"/>
      <c r="U728" s="92"/>
      <c r="V728" s="92"/>
      <c r="W728" s="92"/>
      <c r="X728" s="92"/>
      <c r="Y728" s="92"/>
      <c r="Z728" s="92"/>
    </row>
    <row r="729" spans="1:26" hidden="1">
      <c r="A729" s="92"/>
      <c r="B729" s="92"/>
      <c r="C729" s="92"/>
      <c r="D729" s="92"/>
      <c r="E729" s="92"/>
      <c r="F729" s="92"/>
      <c r="G729" s="92"/>
      <c r="H729" s="92"/>
      <c r="I729" s="92"/>
      <c r="J729" s="92"/>
      <c r="K729" s="92"/>
      <c r="L729" s="92"/>
      <c r="M729" s="92"/>
      <c r="N729" s="92"/>
      <c r="O729" s="92"/>
      <c r="P729" s="92"/>
      <c r="Q729" s="92"/>
      <c r="R729" s="92"/>
      <c r="S729" s="92"/>
      <c r="T729" s="92"/>
      <c r="U729" s="92"/>
      <c r="V729" s="92"/>
      <c r="W729" s="92"/>
      <c r="X729" s="92"/>
      <c r="Y729" s="92"/>
      <c r="Z729" s="92"/>
    </row>
    <row r="730" spans="1:26" hidden="1">
      <c r="A730" s="92"/>
      <c r="B730" s="92"/>
      <c r="C730" s="92"/>
      <c r="D730" s="92"/>
      <c r="E730" s="92"/>
      <c r="F730" s="92"/>
      <c r="G730" s="92"/>
      <c r="H730" s="92"/>
      <c r="I730" s="92"/>
      <c r="J730" s="92"/>
      <c r="K730" s="92"/>
      <c r="L730" s="92"/>
      <c r="M730" s="92"/>
      <c r="N730" s="92"/>
      <c r="O730" s="92"/>
      <c r="P730" s="92"/>
      <c r="Q730" s="92"/>
      <c r="R730" s="92"/>
      <c r="S730" s="92"/>
      <c r="T730" s="92"/>
      <c r="U730" s="92"/>
      <c r="V730" s="92"/>
      <c r="W730" s="92"/>
      <c r="X730" s="92"/>
      <c r="Y730" s="92"/>
      <c r="Z730" s="92"/>
    </row>
    <row r="731" spans="1:26" hidden="1">
      <c r="A731" s="92"/>
      <c r="B731" s="92"/>
      <c r="C731" s="92"/>
      <c r="D731" s="92"/>
      <c r="E731" s="92"/>
      <c r="F731" s="92"/>
      <c r="G731" s="92"/>
      <c r="H731" s="92"/>
      <c r="I731" s="92"/>
      <c r="J731" s="92"/>
      <c r="K731" s="92"/>
      <c r="L731" s="92"/>
      <c r="M731" s="92"/>
      <c r="N731" s="92"/>
      <c r="O731" s="92"/>
      <c r="P731" s="92"/>
      <c r="Q731" s="92"/>
      <c r="R731" s="92"/>
      <c r="S731" s="92"/>
      <c r="T731" s="92"/>
      <c r="U731" s="92"/>
      <c r="V731" s="92"/>
      <c r="W731" s="92"/>
      <c r="X731" s="92"/>
      <c r="Y731" s="92"/>
      <c r="Z731" s="92"/>
    </row>
    <row r="732" spans="1:26" hidden="1">
      <c r="A732" s="92"/>
      <c r="B732" s="92"/>
      <c r="C732" s="92"/>
      <c r="D732" s="92"/>
      <c r="E732" s="92"/>
      <c r="F732" s="92"/>
      <c r="G732" s="92"/>
      <c r="H732" s="92"/>
      <c r="I732" s="92"/>
      <c r="J732" s="92"/>
      <c r="K732" s="92"/>
      <c r="L732" s="92"/>
      <c r="M732" s="92"/>
      <c r="N732" s="92"/>
      <c r="O732" s="92"/>
      <c r="P732" s="92"/>
      <c r="Q732" s="92"/>
      <c r="R732" s="92"/>
      <c r="S732" s="92"/>
      <c r="T732" s="92"/>
      <c r="U732" s="92"/>
      <c r="V732" s="92"/>
      <c r="W732" s="92"/>
      <c r="X732" s="92"/>
      <c r="Y732" s="92"/>
      <c r="Z732" s="92"/>
    </row>
    <row r="733" spans="1:26" hidden="1">
      <c r="A733" s="92"/>
      <c r="B733" s="92"/>
      <c r="C733" s="92"/>
      <c r="D733" s="92"/>
      <c r="E733" s="92"/>
      <c r="F733" s="92"/>
      <c r="G733" s="92"/>
      <c r="H733" s="92"/>
      <c r="I733" s="92"/>
      <c r="J733" s="92"/>
      <c r="K733" s="92"/>
      <c r="L733" s="92"/>
      <c r="M733" s="92"/>
      <c r="N733" s="92"/>
      <c r="O733" s="92"/>
      <c r="P733" s="92"/>
      <c r="Q733" s="92"/>
      <c r="R733" s="92"/>
      <c r="S733" s="92"/>
      <c r="T733" s="92"/>
      <c r="U733" s="92"/>
      <c r="V733" s="92"/>
      <c r="W733" s="92"/>
      <c r="X733" s="92"/>
      <c r="Y733" s="92"/>
      <c r="Z733" s="92"/>
    </row>
    <row r="734" spans="1:26" hidden="1">
      <c r="A734" s="92"/>
      <c r="B734" s="92"/>
      <c r="C734" s="92"/>
      <c r="D734" s="92"/>
      <c r="E734" s="92"/>
      <c r="F734" s="92"/>
      <c r="G734" s="92"/>
      <c r="H734" s="92"/>
      <c r="I734" s="92"/>
      <c r="J734" s="92"/>
      <c r="K734" s="92"/>
      <c r="L734" s="92"/>
      <c r="M734" s="92"/>
      <c r="N734" s="92"/>
      <c r="O734" s="92"/>
      <c r="P734" s="92"/>
      <c r="Q734" s="92"/>
      <c r="R734" s="92"/>
      <c r="S734" s="92"/>
      <c r="T734" s="92"/>
      <c r="U734" s="92"/>
      <c r="V734" s="92"/>
      <c r="W734" s="92"/>
      <c r="X734" s="92"/>
      <c r="Y734" s="92"/>
      <c r="Z734" s="92"/>
    </row>
    <row r="735" spans="1:26" hidden="1">
      <c r="A735" s="92"/>
      <c r="B735" s="92"/>
      <c r="C735" s="92"/>
      <c r="D735" s="92"/>
      <c r="E735" s="92"/>
      <c r="F735" s="92"/>
      <c r="G735" s="92"/>
      <c r="H735" s="92"/>
      <c r="I735" s="92"/>
      <c r="J735" s="92"/>
      <c r="K735" s="92"/>
      <c r="L735" s="92"/>
      <c r="M735" s="92"/>
      <c r="N735" s="92"/>
      <c r="O735" s="92"/>
      <c r="P735" s="92"/>
      <c r="Q735" s="92"/>
      <c r="R735" s="92"/>
      <c r="S735" s="92"/>
      <c r="T735" s="92"/>
      <c r="U735" s="92"/>
      <c r="V735" s="92"/>
      <c r="W735" s="92"/>
      <c r="X735" s="92"/>
      <c r="Y735" s="92"/>
      <c r="Z735" s="92"/>
    </row>
    <row r="736" spans="1:26" hidden="1">
      <c r="A736" s="92"/>
      <c r="B736" s="92"/>
      <c r="C736" s="92"/>
      <c r="D736" s="92"/>
      <c r="E736" s="92"/>
      <c r="F736" s="92"/>
      <c r="G736" s="92"/>
      <c r="H736" s="92"/>
      <c r="I736" s="92"/>
      <c r="J736" s="92"/>
      <c r="K736" s="92"/>
      <c r="L736" s="92"/>
      <c r="M736" s="92"/>
      <c r="N736" s="92"/>
      <c r="O736" s="92"/>
      <c r="P736" s="92"/>
      <c r="Q736" s="92"/>
      <c r="R736" s="92"/>
      <c r="S736" s="92"/>
      <c r="T736" s="92"/>
      <c r="U736" s="92"/>
      <c r="V736" s="92"/>
      <c r="W736" s="92"/>
      <c r="X736" s="92"/>
      <c r="Y736" s="92"/>
      <c r="Z736" s="92"/>
    </row>
    <row r="737" spans="1:26" hidden="1">
      <c r="A737" s="92"/>
      <c r="B737" s="92"/>
      <c r="C737" s="92"/>
      <c r="D737" s="92"/>
      <c r="E737" s="92"/>
      <c r="F737" s="92"/>
      <c r="G737" s="92"/>
      <c r="H737" s="92"/>
      <c r="I737" s="92"/>
      <c r="J737" s="92"/>
      <c r="K737" s="92"/>
      <c r="L737" s="92"/>
      <c r="M737" s="92"/>
      <c r="N737" s="92"/>
      <c r="O737" s="92"/>
      <c r="P737" s="92"/>
      <c r="Q737" s="92"/>
      <c r="R737" s="92"/>
      <c r="S737" s="92"/>
      <c r="T737" s="92"/>
      <c r="U737" s="92"/>
      <c r="V737" s="92"/>
      <c r="W737" s="92"/>
      <c r="X737" s="92"/>
      <c r="Y737" s="92"/>
      <c r="Z737" s="92"/>
    </row>
    <row r="738" spans="1:26" hidden="1">
      <c r="A738" s="92"/>
      <c r="B738" s="92"/>
      <c r="C738" s="92"/>
      <c r="D738" s="92"/>
      <c r="E738" s="92"/>
      <c r="F738" s="92"/>
      <c r="G738" s="92"/>
      <c r="H738" s="92"/>
      <c r="I738" s="92"/>
      <c r="J738" s="92"/>
      <c r="K738" s="92"/>
      <c r="L738" s="92"/>
      <c r="M738" s="92"/>
      <c r="N738" s="92"/>
      <c r="O738" s="92"/>
      <c r="P738" s="92"/>
      <c r="Q738" s="92"/>
      <c r="R738" s="92"/>
      <c r="S738" s="92"/>
      <c r="T738" s="92"/>
      <c r="U738" s="92"/>
      <c r="V738" s="92"/>
      <c r="W738" s="92"/>
      <c r="X738" s="92"/>
      <c r="Y738" s="92"/>
      <c r="Z738" s="92"/>
    </row>
    <row r="739" spans="1:26" hidden="1">
      <c r="A739" s="92"/>
      <c r="B739" s="92"/>
      <c r="C739" s="92"/>
      <c r="D739" s="92"/>
      <c r="E739" s="92"/>
      <c r="F739" s="92"/>
      <c r="G739" s="92"/>
      <c r="H739" s="92"/>
      <c r="I739" s="92"/>
      <c r="J739" s="92"/>
      <c r="K739" s="92"/>
      <c r="L739" s="92"/>
      <c r="M739" s="92"/>
      <c r="N739" s="92"/>
      <c r="O739" s="92"/>
      <c r="P739" s="92"/>
      <c r="Q739" s="92"/>
      <c r="R739" s="92"/>
      <c r="S739" s="92"/>
      <c r="T739" s="92"/>
      <c r="U739" s="92"/>
      <c r="V739" s="92"/>
      <c r="W739" s="92"/>
      <c r="X739" s="92"/>
      <c r="Y739" s="92"/>
      <c r="Z739" s="92"/>
    </row>
    <row r="740" spans="1:26" hidden="1">
      <c r="A740" s="92"/>
      <c r="B740" s="92"/>
      <c r="C740" s="92"/>
      <c r="D740" s="92"/>
      <c r="E740" s="92"/>
      <c r="F740" s="92"/>
      <c r="G740" s="92"/>
      <c r="H740" s="92"/>
      <c r="I740" s="92"/>
      <c r="J740" s="92"/>
      <c r="K740" s="92"/>
      <c r="L740" s="92"/>
      <c r="M740" s="92"/>
      <c r="N740" s="92"/>
      <c r="O740" s="92"/>
      <c r="P740" s="92"/>
      <c r="Q740" s="92"/>
      <c r="R740" s="92"/>
      <c r="S740" s="92"/>
      <c r="T740" s="92"/>
      <c r="U740" s="92"/>
      <c r="V740" s="92"/>
      <c r="W740" s="92"/>
      <c r="X740" s="92"/>
      <c r="Y740" s="92"/>
      <c r="Z740" s="92"/>
    </row>
    <row r="741" spans="1:26" hidden="1">
      <c r="A741" s="92"/>
      <c r="B741" s="92"/>
      <c r="C741" s="92"/>
      <c r="D741" s="92"/>
      <c r="E741" s="92"/>
      <c r="F741" s="92"/>
      <c r="G741" s="92"/>
      <c r="H741" s="92"/>
      <c r="I741" s="92"/>
      <c r="J741" s="92"/>
      <c r="K741" s="92"/>
      <c r="L741" s="92"/>
      <c r="M741" s="92"/>
      <c r="N741" s="92"/>
      <c r="O741" s="92"/>
      <c r="P741" s="92"/>
      <c r="Q741" s="92"/>
      <c r="R741" s="92"/>
      <c r="S741" s="92"/>
      <c r="T741" s="92"/>
      <c r="U741" s="92"/>
      <c r="V741" s="92"/>
      <c r="W741" s="92"/>
      <c r="X741" s="92"/>
      <c r="Y741" s="92"/>
      <c r="Z741" s="92"/>
    </row>
    <row r="742" spans="1:26" hidden="1">
      <c r="A742" s="92"/>
      <c r="B742" s="92"/>
      <c r="C742" s="92"/>
      <c r="D742" s="92"/>
      <c r="E742" s="92"/>
      <c r="F742" s="92"/>
      <c r="G742" s="92"/>
      <c r="H742" s="92"/>
      <c r="I742" s="92"/>
      <c r="J742" s="92"/>
      <c r="K742" s="92"/>
      <c r="L742" s="92"/>
      <c r="M742" s="92"/>
      <c r="N742" s="92"/>
      <c r="O742" s="92"/>
      <c r="P742" s="92"/>
      <c r="Q742" s="92"/>
      <c r="R742" s="92"/>
      <c r="S742" s="92"/>
      <c r="T742" s="92"/>
      <c r="U742" s="92"/>
      <c r="V742" s="92"/>
      <c r="W742" s="92"/>
      <c r="X742" s="92"/>
      <c r="Y742" s="92"/>
      <c r="Z742" s="92"/>
    </row>
    <row r="743" spans="1:26" hidden="1">
      <c r="A743" s="92"/>
      <c r="B743" s="92"/>
      <c r="C743" s="92"/>
      <c r="D743" s="92"/>
      <c r="E743" s="92"/>
      <c r="F743" s="92"/>
      <c r="G743" s="92"/>
      <c r="H743" s="92"/>
      <c r="I743" s="92"/>
      <c r="J743" s="92"/>
      <c r="K743" s="92"/>
      <c r="L743" s="92"/>
      <c r="M743" s="92"/>
      <c r="N743" s="92"/>
      <c r="O743" s="92"/>
      <c r="P743" s="92"/>
      <c r="Q743" s="92"/>
      <c r="R743" s="92"/>
      <c r="S743" s="92"/>
      <c r="T743" s="92"/>
      <c r="U743" s="92"/>
      <c r="V743" s="92"/>
      <c r="W743" s="92"/>
      <c r="X743" s="92"/>
      <c r="Y743" s="92"/>
      <c r="Z743" s="92"/>
    </row>
    <row r="744" spans="1:26" hidden="1">
      <c r="A744" s="92"/>
      <c r="B744" s="92"/>
      <c r="C744" s="92"/>
      <c r="D744" s="92"/>
      <c r="E744" s="92"/>
      <c r="F744" s="92"/>
      <c r="G744" s="92"/>
      <c r="H744" s="92"/>
      <c r="I744" s="92"/>
      <c r="J744" s="92"/>
      <c r="K744" s="92"/>
      <c r="L744" s="92"/>
      <c r="M744" s="92"/>
      <c r="N744" s="92"/>
      <c r="O744" s="92"/>
      <c r="P744" s="92"/>
      <c r="Q744" s="92"/>
      <c r="R744" s="92"/>
      <c r="S744" s="92"/>
      <c r="T744" s="92"/>
      <c r="U744" s="92"/>
      <c r="V744" s="92"/>
      <c r="W744" s="92"/>
      <c r="X744" s="92"/>
      <c r="Y744" s="92"/>
      <c r="Z744" s="92"/>
    </row>
    <row r="745" spans="1:26" hidden="1">
      <c r="A745" s="92"/>
      <c r="B745" s="92"/>
      <c r="C745" s="92"/>
      <c r="D745" s="92"/>
      <c r="E745" s="92"/>
      <c r="F745" s="92"/>
      <c r="G745" s="92"/>
      <c r="H745" s="92"/>
      <c r="I745" s="92"/>
      <c r="J745" s="92"/>
      <c r="K745" s="92"/>
      <c r="L745" s="92"/>
      <c r="M745" s="92"/>
      <c r="N745" s="92"/>
      <c r="O745" s="92"/>
      <c r="P745" s="92"/>
      <c r="Q745" s="92"/>
      <c r="R745" s="92"/>
      <c r="S745" s="92"/>
      <c r="T745" s="92"/>
      <c r="U745" s="92"/>
      <c r="V745" s="92"/>
      <c r="W745" s="92"/>
      <c r="X745" s="92"/>
      <c r="Y745" s="92"/>
      <c r="Z745" s="92"/>
    </row>
    <row r="746" spans="1:26" hidden="1">
      <c r="A746" s="92"/>
      <c r="B746" s="92"/>
      <c r="C746" s="92"/>
      <c r="D746" s="92"/>
      <c r="E746" s="92"/>
      <c r="F746" s="92"/>
      <c r="G746" s="92"/>
      <c r="H746" s="92"/>
      <c r="I746" s="92"/>
      <c r="J746" s="92"/>
      <c r="K746" s="92"/>
      <c r="L746" s="92"/>
      <c r="M746" s="92"/>
      <c r="N746" s="92"/>
      <c r="O746" s="92"/>
      <c r="P746" s="92"/>
      <c r="Q746" s="92"/>
      <c r="R746" s="92"/>
      <c r="S746" s="92"/>
      <c r="T746" s="92"/>
      <c r="U746" s="92"/>
      <c r="V746" s="92"/>
      <c r="W746" s="92"/>
      <c r="X746" s="92"/>
      <c r="Y746" s="92"/>
      <c r="Z746" s="92"/>
    </row>
    <row r="747" spans="1:26" hidden="1">
      <c r="A747" s="92"/>
      <c r="B747" s="92"/>
      <c r="C747" s="92"/>
      <c r="D747" s="92"/>
      <c r="E747" s="92"/>
      <c r="F747" s="92"/>
      <c r="G747" s="92"/>
      <c r="H747" s="92"/>
      <c r="I747" s="92"/>
      <c r="J747" s="92"/>
      <c r="K747" s="92"/>
      <c r="L747" s="92"/>
      <c r="M747" s="92"/>
      <c r="N747" s="92"/>
      <c r="O747" s="92"/>
      <c r="P747" s="92"/>
      <c r="Q747" s="92"/>
      <c r="R747" s="92"/>
      <c r="S747" s="92"/>
      <c r="T747" s="92"/>
      <c r="U747" s="92"/>
      <c r="V747" s="92"/>
      <c r="W747" s="92"/>
      <c r="X747" s="92"/>
      <c r="Y747" s="92"/>
      <c r="Z747" s="92"/>
    </row>
    <row r="748" spans="1:26" hidden="1">
      <c r="A748" s="92"/>
      <c r="B748" s="92"/>
      <c r="C748" s="92"/>
      <c r="D748" s="92"/>
      <c r="E748" s="92"/>
      <c r="F748" s="92"/>
      <c r="G748" s="92"/>
      <c r="H748" s="92"/>
      <c r="I748" s="92"/>
      <c r="J748" s="92"/>
      <c r="K748" s="92"/>
      <c r="L748" s="92"/>
      <c r="M748" s="92"/>
      <c r="N748" s="92"/>
      <c r="O748" s="92"/>
      <c r="P748" s="92"/>
      <c r="Q748" s="92"/>
      <c r="R748" s="92"/>
      <c r="S748" s="92"/>
      <c r="T748" s="92"/>
      <c r="U748" s="92"/>
      <c r="V748" s="92"/>
      <c r="W748" s="92"/>
      <c r="X748" s="92"/>
      <c r="Y748" s="92"/>
      <c r="Z748" s="92"/>
    </row>
    <row r="749" spans="1:26" hidden="1">
      <c r="A749" s="92"/>
      <c r="B749" s="92"/>
      <c r="C749" s="92"/>
      <c r="D749" s="92"/>
      <c r="E749" s="92"/>
      <c r="F749" s="92"/>
      <c r="G749" s="92"/>
      <c r="H749" s="92"/>
      <c r="I749" s="92"/>
      <c r="J749" s="92"/>
      <c r="K749" s="92"/>
      <c r="L749" s="92"/>
      <c r="M749" s="92"/>
      <c r="N749" s="92"/>
      <c r="O749" s="92"/>
      <c r="P749" s="92"/>
      <c r="Q749" s="92"/>
      <c r="R749" s="92"/>
      <c r="S749" s="92"/>
      <c r="T749" s="92"/>
      <c r="U749" s="92"/>
      <c r="V749" s="92"/>
      <c r="W749" s="92"/>
      <c r="X749" s="92"/>
      <c r="Y749" s="92"/>
      <c r="Z749" s="92"/>
    </row>
    <row r="750" spans="1:26" hidden="1">
      <c r="A750" s="92"/>
      <c r="B750" s="92"/>
      <c r="C750" s="92"/>
      <c r="D750" s="92"/>
      <c r="E750" s="92"/>
      <c r="F750" s="92"/>
      <c r="G750" s="92"/>
      <c r="H750" s="92"/>
      <c r="I750" s="92"/>
      <c r="J750" s="92"/>
      <c r="K750" s="92"/>
      <c r="L750" s="92"/>
      <c r="M750" s="92"/>
      <c r="N750" s="92"/>
      <c r="O750" s="92"/>
      <c r="P750" s="92"/>
      <c r="Q750" s="92"/>
      <c r="R750" s="92"/>
      <c r="S750" s="92"/>
      <c r="T750" s="92"/>
      <c r="U750" s="92"/>
      <c r="V750" s="92"/>
      <c r="W750" s="92"/>
      <c r="X750" s="92"/>
      <c r="Y750" s="92"/>
      <c r="Z750" s="92"/>
    </row>
    <row r="751" spans="1:26" hidden="1">
      <c r="A751" s="92"/>
      <c r="B751" s="92"/>
      <c r="C751" s="92"/>
      <c r="D751" s="92"/>
      <c r="E751" s="92"/>
      <c r="F751" s="92"/>
      <c r="G751" s="92"/>
      <c r="H751" s="92"/>
      <c r="I751" s="92"/>
      <c r="J751" s="92"/>
      <c r="K751" s="92"/>
      <c r="L751" s="92"/>
      <c r="M751" s="92"/>
      <c r="N751" s="92"/>
      <c r="O751" s="92"/>
      <c r="P751" s="92"/>
      <c r="Q751" s="92"/>
      <c r="R751" s="92"/>
      <c r="S751" s="92"/>
      <c r="T751" s="92"/>
      <c r="U751" s="92"/>
      <c r="V751" s="92"/>
      <c r="W751" s="92"/>
      <c r="X751" s="92"/>
      <c r="Y751" s="92"/>
      <c r="Z751" s="92"/>
    </row>
    <row r="752" spans="1:26" hidden="1">
      <c r="A752" s="92"/>
      <c r="B752" s="92"/>
      <c r="C752" s="92"/>
      <c r="D752" s="92"/>
      <c r="E752" s="92"/>
      <c r="F752" s="92"/>
      <c r="G752" s="92"/>
      <c r="H752" s="92"/>
      <c r="I752" s="92"/>
      <c r="J752" s="92"/>
      <c r="K752" s="92"/>
      <c r="L752" s="92"/>
      <c r="M752" s="92"/>
      <c r="N752" s="92"/>
      <c r="O752" s="92"/>
      <c r="P752" s="92"/>
      <c r="Q752" s="92"/>
      <c r="R752" s="92"/>
      <c r="S752" s="92"/>
      <c r="T752" s="92"/>
      <c r="U752" s="92"/>
      <c r="V752" s="92"/>
      <c r="W752" s="92"/>
      <c r="X752" s="92"/>
      <c r="Y752" s="92"/>
      <c r="Z752" s="92"/>
    </row>
    <row r="753" spans="1:26" hidden="1">
      <c r="A753" s="92"/>
      <c r="B753" s="92"/>
      <c r="C753" s="92"/>
      <c r="D753" s="92"/>
      <c r="E753" s="92"/>
      <c r="F753" s="92"/>
      <c r="G753" s="92"/>
      <c r="H753" s="92"/>
      <c r="I753" s="92"/>
      <c r="J753" s="92"/>
      <c r="K753" s="92"/>
      <c r="L753" s="92"/>
      <c r="M753" s="92"/>
      <c r="N753" s="92"/>
      <c r="O753" s="92"/>
      <c r="P753" s="92"/>
      <c r="Q753" s="92"/>
      <c r="R753" s="92"/>
      <c r="S753" s="92"/>
      <c r="T753" s="92"/>
      <c r="U753" s="92"/>
      <c r="V753" s="92"/>
      <c r="W753" s="92"/>
      <c r="X753" s="92"/>
      <c r="Y753" s="92"/>
      <c r="Z753" s="92"/>
    </row>
    <row r="754" spans="1:26" hidden="1">
      <c r="A754" s="92"/>
      <c r="B754" s="92"/>
      <c r="C754" s="92"/>
      <c r="D754" s="92"/>
      <c r="E754" s="92"/>
      <c r="F754" s="92"/>
      <c r="G754" s="92"/>
      <c r="H754" s="92"/>
      <c r="I754" s="92"/>
      <c r="J754" s="92"/>
      <c r="K754" s="92"/>
      <c r="L754" s="92"/>
      <c r="M754" s="92"/>
      <c r="N754" s="92"/>
      <c r="O754" s="92"/>
      <c r="P754" s="92"/>
      <c r="Q754" s="92"/>
      <c r="R754" s="92"/>
      <c r="S754" s="92"/>
      <c r="T754" s="92"/>
      <c r="U754" s="92"/>
      <c r="V754" s="92"/>
      <c r="W754" s="92"/>
      <c r="X754" s="92"/>
      <c r="Y754" s="92"/>
      <c r="Z754" s="92"/>
    </row>
    <row r="755" spans="1:26" hidden="1">
      <c r="A755" s="92"/>
      <c r="B755" s="92"/>
      <c r="C755" s="92"/>
      <c r="D755" s="92"/>
      <c r="E755" s="92"/>
      <c r="F755" s="92"/>
      <c r="G755" s="92"/>
      <c r="H755" s="92"/>
      <c r="I755" s="92"/>
      <c r="J755" s="92"/>
      <c r="K755" s="92"/>
      <c r="L755" s="92"/>
      <c r="M755" s="92"/>
      <c r="N755" s="92"/>
      <c r="O755" s="92"/>
      <c r="P755" s="92"/>
      <c r="Q755" s="92"/>
      <c r="R755" s="92"/>
      <c r="S755" s="92"/>
      <c r="T755" s="92"/>
      <c r="U755" s="92"/>
      <c r="V755" s="92"/>
      <c r="W755" s="92"/>
      <c r="X755" s="92"/>
      <c r="Y755" s="92"/>
      <c r="Z755" s="92"/>
    </row>
    <row r="756" spans="1:26" hidden="1">
      <c r="A756" s="92"/>
      <c r="B756" s="92"/>
      <c r="C756" s="92"/>
      <c r="D756" s="92"/>
      <c r="E756" s="92"/>
      <c r="F756" s="92"/>
      <c r="G756" s="92"/>
      <c r="H756" s="92"/>
      <c r="I756" s="92"/>
      <c r="J756" s="92"/>
      <c r="K756" s="92"/>
      <c r="L756" s="92"/>
      <c r="M756" s="92"/>
      <c r="N756" s="92"/>
      <c r="O756" s="92"/>
      <c r="P756" s="92"/>
      <c r="Q756" s="92"/>
      <c r="R756" s="92"/>
      <c r="S756" s="92"/>
      <c r="T756" s="92"/>
      <c r="U756" s="92"/>
      <c r="V756" s="92"/>
      <c r="W756" s="92"/>
      <c r="X756" s="92"/>
      <c r="Y756" s="92"/>
      <c r="Z756" s="92"/>
    </row>
    <row r="757" spans="1:26" hidden="1">
      <c r="A757" s="92"/>
      <c r="B757" s="92"/>
      <c r="C757" s="92"/>
      <c r="D757" s="92"/>
      <c r="E757" s="92"/>
      <c r="F757" s="92"/>
      <c r="G757" s="92"/>
      <c r="H757" s="92"/>
      <c r="I757" s="92"/>
      <c r="J757" s="92"/>
      <c r="K757" s="92"/>
      <c r="L757" s="92"/>
      <c r="M757" s="92"/>
      <c r="N757" s="92"/>
      <c r="O757" s="92"/>
      <c r="P757" s="92"/>
      <c r="Q757" s="92"/>
      <c r="R757" s="92"/>
      <c r="S757" s="92"/>
      <c r="T757" s="92"/>
      <c r="U757" s="92"/>
      <c r="V757" s="92"/>
      <c r="W757" s="92"/>
      <c r="X757" s="92"/>
      <c r="Y757" s="92"/>
      <c r="Z757" s="92"/>
    </row>
    <row r="758" spans="1:26" hidden="1">
      <c r="A758" s="92"/>
      <c r="B758" s="92"/>
      <c r="C758" s="92"/>
      <c r="D758" s="92"/>
      <c r="E758" s="92"/>
      <c r="F758" s="92"/>
      <c r="G758" s="92"/>
      <c r="H758" s="92"/>
      <c r="I758" s="92"/>
      <c r="J758" s="92"/>
      <c r="K758" s="92"/>
      <c r="L758" s="92"/>
      <c r="M758" s="92"/>
      <c r="N758" s="92"/>
      <c r="O758" s="92"/>
      <c r="P758" s="92"/>
      <c r="Q758" s="92"/>
      <c r="R758" s="92"/>
      <c r="S758" s="92"/>
      <c r="T758" s="92"/>
      <c r="U758" s="92"/>
      <c r="V758" s="92"/>
      <c r="W758" s="92"/>
      <c r="X758" s="92"/>
      <c r="Y758" s="92"/>
      <c r="Z758" s="92"/>
    </row>
    <row r="759" spans="1:26" hidden="1">
      <c r="A759" s="92"/>
      <c r="B759" s="92"/>
      <c r="C759" s="92"/>
      <c r="D759" s="92"/>
      <c r="E759" s="92"/>
      <c r="F759" s="92"/>
      <c r="G759" s="92"/>
      <c r="H759" s="92"/>
      <c r="I759" s="92"/>
      <c r="J759" s="92"/>
      <c r="K759" s="92"/>
      <c r="L759" s="92"/>
      <c r="M759" s="92"/>
      <c r="N759" s="92"/>
      <c r="O759" s="92"/>
      <c r="P759" s="92"/>
      <c r="Q759" s="92"/>
      <c r="R759" s="92"/>
      <c r="S759" s="92"/>
      <c r="T759" s="92"/>
      <c r="U759" s="92"/>
      <c r="V759" s="92"/>
      <c r="W759" s="92"/>
      <c r="X759" s="92"/>
      <c r="Y759" s="92"/>
      <c r="Z759" s="92"/>
    </row>
    <row r="760" spans="1:26" hidden="1">
      <c r="A760" s="92"/>
      <c r="B760" s="92"/>
      <c r="C760" s="92"/>
      <c r="D760" s="92"/>
      <c r="E760" s="92"/>
      <c r="F760" s="92"/>
      <c r="G760" s="92"/>
      <c r="H760" s="92"/>
      <c r="I760" s="92"/>
      <c r="J760" s="92"/>
      <c r="K760" s="92"/>
      <c r="L760" s="92"/>
      <c r="M760" s="92"/>
      <c r="N760" s="92"/>
      <c r="O760" s="92"/>
      <c r="P760" s="92"/>
      <c r="Q760" s="92"/>
      <c r="R760" s="92"/>
      <c r="S760" s="92"/>
      <c r="T760" s="92"/>
      <c r="U760" s="92"/>
      <c r="V760" s="92"/>
      <c r="W760" s="92"/>
      <c r="X760" s="92"/>
      <c r="Y760" s="92"/>
      <c r="Z760" s="92"/>
    </row>
    <row r="761" spans="1:26" hidden="1">
      <c r="A761" s="92"/>
      <c r="B761" s="92"/>
      <c r="C761" s="92"/>
      <c r="D761" s="92"/>
      <c r="E761" s="92"/>
      <c r="F761" s="92"/>
      <c r="G761" s="92"/>
      <c r="H761" s="92"/>
      <c r="I761" s="92"/>
      <c r="J761" s="92"/>
      <c r="K761" s="92"/>
      <c r="L761" s="92"/>
      <c r="M761" s="92"/>
      <c r="N761" s="92"/>
      <c r="O761" s="92"/>
      <c r="P761" s="92"/>
      <c r="Q761" s="92"/>
      <c r="R761" s="92"/>
      <c r="S761" s="92"/>
      <c r="T761" s="92"/>
      <c r="U761" s="92"/>
      <c r="V761" s="92"/>
      <c r="W761" s="92"/>
      <c r="X761" s="92"/>
      <c r="Y761" s="92"/>
      <c r="Z761" s="92"/>
    </row>
    <row r="762" spans="1:26" hidden="1">
      <c r="A762" s="92"/>
      <c r="B762" s="92"/>
      <c r="C762" s="92"/>
      <c r="D762" s="92"/>
      <c r="E762" s="92"/>
      <c r="F762" s="92"/>
      <c r="G762" s="92"/>
      <c r="H762" s="92"/>
      <c r="I762" s="92"/>
      <c r="J762" s="92"/>
      <c r="K762" s="92"/>
      <c r="L762" s="92"/>
      <c r="M762" s="92"/>
      <c r="N762" s="92"/>
      <c r="O762" s="92"/>
      <c r="P762" s="92"/>
      <c r="Q762" s="92"/>
      <c r="R762" s="92"/>
      <c r="S762" s="92"/>
      <c r="T762" s="92"/>
      <c r="U762" s="92"/>
      <c r="V762" s="92"/>
      <c r="W762" s="92"/>
      <c r="X762" s="92"/>
      <c r="Y762" s="92"/>
      <c r="Z762" s="92"/>
    </row>
    <row r="763" spans="1:26" hidden="1">
      <c r="A763" s="92"/>
      <c r="B763" s="92"/>
      <c r="C763" s="92"/>
      <c r="D763" s="92"/>
      <c r="E763" s="92"/>
      <c r="F763" s="92"/>
      <c r="G763" s="92"/>
      <c r="H763" s="92"/>
      <c r="I763" s="92"/>
      <c r="J763" s="92"/>
      <c r="K763" s="92"/>
      <c r="L763" s="92"/>
      <c r="M763" s="92"/>
      <c r="N763" s="92"/>
      <c r="O763" s="92"/>
      <c r="P763" s="92"/>
      <c r="Q763" s="92"/>
      <c r="R763" s="92"/>
      <c r="S763" s="92"/>
      <c r="T763" s="92"/>
      <c r="U763" s="92"/>
      <c r="V763" s="92"/>
      <c r="W763" s="92"/>
      <c r="X763" s="92"/>
      <c r="Y763" s="92"/>
      <c r="Z763" s="92"/>
    </row>
    <row r="764" spans="1:26" hidden="1">
      <c r="A764" s="92"/>
      <c r="B764" s="92"/>
      <c r="C764" s="92"/>
      <c r="D764" s="92"/>
      <c r="E764" s="92"/>
      <c r="F764" s="92"/>
      <c r="G764" s="92"/>
      <c r="H764" s="92"/>
      <c r="I764" s="92"/>
      <c r="J764" s="92"/>
      <c r="K764" s="92"/>
      <c r="L764" s="92"/>
      <c r="M764" s="92"/>
      <c r="N764" s="92"/>
      <c r="O764" s="92"/>
      <c r="P764" s="92"/>
      <c r="Q764" s="92"/>
      <c r="R764" s="92"/>
      <c r="S764" s="92"/>
      <c r="T764" s="92"/>
      <c r="U764" s="92"/>
      <c r="V764" s="92"/>
      <c r="W764" s="92"/>
      <c r="X764" s="92"/>
      <c r="Y764" s="92"/>
      <c r="Z764" s="92"/>
    </row>
    <row r="765" spans="1:26" hidden="1">
      <c r="A765" s="92"/>
      <c r="B765" s="92"/>
      <c r="C765" s="92"/>
      <c r="D765" s="92"/>
      <c r="E765" s="92"/>
      <c r="F765" s="92"/>
      <c r="G765" s="92"/>
      <c r="H765" s="92"/>
      <c r="I765" s="92"/>
      <c r="J765" s="92"/>
      <c r="K765" s="92"/>
      <c r="L765" s="92"/>
      <c r="M765" s="92"/>
      <c r="N765" s="92"/>
      <c r="O765" s="92"/>
      <c r="P765" s="92"/>
      <c r="Q765" s="92"/>
      <c r="R765" s="92"/>
      <c r="S765" s="92"/>
      <c r="T765" s="92"/>
      <c r="U765" s="92"/>
      <c r="V765" s="92"/>
      <c r="W765" s="92"/>
      <c r="X765" s="92"/>
      <c r="Y765" s="92"/>
      <c r="Z765" s="92"/>
    </row>
    <row r="766" spans="1:26" hidden="1">
      <c r="A766" s="92"/>
      <c r="B766" s="92"/>
      <c r="C766" s="92"/>
      <c r="D766" s="92"/>
      <c r="E766" s="92"/>
      <c r="F766" s="92"/>
      <c r="G766" s="92"/>
      <c r="H766" s="92"/>
      <c r="I766" s="92"/>
      <c r="J766" s="92"/>
      <c r="K766" s="92"/>
      <c r="L766" s="92"/>
      <c r="M766" s="92"/>
      <c r="N766" s="92"/>
      <c r="O766" s="92"/>
      <c r="P766" s="92"/>
      <c r="Q766" s="92"/>
      <c r="R766" s="92"/>
      <c r="S766" s="92"/>
      <c r="T766" s="92"/>
      <c r="U766" s="92"/>
      <c r="V766" s="92"/>
      <c r="W766" s="92"/>
      <c r="X766" s="92"/>
      <c r="Y766" s="92"/>
      <c r="Z766" s="92"/>
    </row>
    <row r="767" spans="1:26" hidden="1">
      <c r="A767" s="92"/>
      <c r="B767" s="92"/>
      <c r="C767" s="92"/>
      <c r="D767" s="92"/>
      <c r="E767" s="92"/>
      <c r="F767" s="92"/>
      <c r="G767" s="92"/>
      <c r="H767" s="92"/>
      <c r="I767" s="92"/>
      <c r="J767" s="92"/>
      <c r="K767" s="92"/>
      <c r="L767" s="92"/>
      <c r="M767" s="92"/>
      <c r="N767" s="92"/>
      <c r="O767" s="92"/>
      <c r="P767" s="92"/>
      <c r="Q767" s="92"/>
      <c r="R767" s="92"/>
      <c r="S767" s="92"/>
      <c r="T767" s="92"/>
      <c r="U767" s="92"/>
      <c r="V767" s="92"/>
      <c r="W767" s="92"/>
      <c r="X767" s="92"/>
      <c r="Y767" s="92"/>
      <c r="Z767" s="92"/>
    </row>
    <row r="768" spans="1:26" hidden="1">
      <c r="A768" s="92"/>
      <c r="B768" s="92"/>
      <c r="C768" s="92"/>
      <c r="D768" s="92"/>
      <c r="E768" s="92"/>
      <c r="F768" s="92"/>
      <c r="G768" s="92"/>
      <c r="H768" s="92"/>
      <c r="I768" s="92"/>
      <c r="J768" s="92"/>
      <c r="K768" s="92"/>
      <c r="L768" s="92"/>
      <c r="M768" s="92"/>
      <c r="N768" s="92"/>
      <c r="O768" s="92"/>
      <c r="P768" s="92"/>
      <c r="Q768" s="92"/>
      <c r="R768" s="92"/>
      <c r="S768" s="92"/>
      <c r="T768" s="92"/>
      <c r="U768" s="92"/>
      <c r="V768" s="92"/>
      <c r="W768" s="92"/>
      <c r="X768" s="92"/>
      <c r="Y768" s="92"/>
      <c r="Z768" s="92"/>
    </row>
    <row r="769" spans="1:26" hidden="1">
      <c r="A769" s="92"/>
      <c r="B769" s="92"/>
      <c r="C769" s="92"/>
      <c r="D769" s="92"/>
      <c r="E769" s="92"/>
      <c r="F769" s="92"/>
      <c r="G769" s="92"/>
      <c r="H769" s="92"/>
      <c r="I769" s="92"/>
      <c r="J769" s="92"/>
      <c r="K769" s="92"/>
      <c r="L769" s="92"/>
      <c r="M769" s="92"/>
      <c r="N769" s="92"/>
      <c r="O769" s="92"/>
      <c r="P769" s="92"/>
      <c r="Q769" s="92"/>
      <c r="R769" s="92"/>
      <c r="S769" s="92"/>
      <c r="T769" s="92"/>
      <c r="U769" s="92"/>
      <c r="V769" s="92"/>
      <c r="W769" s="92"/>
      <c r="X769" s="92"/>
      <c r="Y769" s="92"/>
      <c r="Z769" s="92"/>
    </row>
    <row r="770" spans="1:26" hidden="1">
      <c r="A770" s="92"/>
      <c r="B770" s="92"/>
      <c r="C770" s="92"/>
      <c r="D770" s="92"/>
      <c r="E770" s="92"/>
      <c r="F770" s="92"/>
      <c r="G770" s="92"/>
      <c r="H770" s="92"/>
      <c r="I770" s="92"/>
      <c r="J770" s="92"/>
      <c r="K770" s="92"/>
      <c r="L770" s="92"/>
      <c r="M770" s="92"/>
      <c r="N770" s="92"/>
      <c r="O770" s="92"/>
      <c r="P770" s="92"/>
      <c r="Q770" s="92"/>
      <c r="R770" s="92"/>
      <c r="S770" s="92"/>
      <c r="T770" s="92"/>
      <c r="U770" s="92"/>
      <c r="V770" s="92"/>
      <c r="W770" s="92"/>
      <c r="X770" s="92"/>
      <c r="Y770" s="92"/>
      <c r="Z770" s="92"/>
    </row>
    <row r="771" spans="1:26" hidden="1">
      <c r="A771" s="92"/>
      <c r="B771" s="92"/>
      <c r="C771" s="92"/>
      <c r="D771" s="92"/>
      <c r="E771" s="92"/>
      <c r="F771" s="92"/>
      <c r="G771" s="92"/>
      <c r="H771" s="92"/>
      <c r="I771" s="92"/>
      <c r="J771" s="92"/>
      <c r="K771" s="92"/>
      <c r="L771" s="92"/>
      <c r="M771" s="92"/>
      <c r="N771" s="92"/>
      <c r="O771" s="92"/>
      <c r="P771" s="92"/>
      <c r="Q771" s="92"/>
      <c r="R771" s="92"/>
      <c r="S771" s="92"/>
      <c r="T771" s="92"/>
      <c r="U771" s="92"/>
      <c r="V771" s="92"/>
      <c r="W771" s="92"/>
      <c r="X771" s="92"/>
      <c r="Y771" s="92"/>
      <c r="Z771" s="92"/>
    </row>
    <row r="772" spans="1:26" hidden="1">
      <c r="A772" s="92"/>
      <c r="B772" s="92"/>
      <c r="C772" s="92"/>
      <c r="D772" s="92"/>
      <c r="E772" s="92"/>
      <c r="F772" s="92"/>
      <c r="G772" s="92"/>
      <c r="H772" s="92"/>
      <c r="I772" s="92"/>
      <c r="J772" s="92"/>
      <c r="K772" s="92"/>
      <c r="L772" s="92"/>
      <c r="M772" s="92"/>
      <c r="N772" s="92"/>
      <c r="O772" s="92"/>
      <c r="P772" s="92"/>
      <c r="Q772" s="92"/>
      <c r="R772" s="92"/>
      <c r="S772" s="92"/>
      <c r="T772" s="92"/>
      <c r="U772" s="92"/>
      <c r="V772" s="92"/>
      <c r="W772" s="92"/>
      <c r="X772" s="92"/>
      <c r="Y772" s="92"/>
      <c r="Z772" s="92"/>
    </row>
    <row r="773" spans="1:26" hidden="1">
      <c r="A773" s="92"/>
      <c r="B773" s="92"/>
      <c r="C773" s="92"/>
      <c r="D773" s="92"/>
      <c r="E773" s="92"/>
      <c r="F773" s="92"/>
      <c r="G773" s="92"/>
      <c r="H773" s="92"/>
      <c r="I773" s="92"/>
      <c r="J773" s="92"/>
      <c r="K773" s="92"/>
      <c r="L773" s="92"/>
      <c r="M773" s="92"/>
      <c r="N773" s="92"/>
      <c r="O773" s="92"/>
      <c r="P773" s="92"/>
      <c r="Q773" s="92"/>
      <c r="R773" s="92"/>
      <c r="S773" s="92"/>
      <c r="T773" s="92"/>
      <c r="U773" s="92"/>
      <c r="V773" s="92"/>
      <c r="W773" s="92"/>
      <c r="X773" s="92"/>
      <c r="Y773" s="92"/>
      <c r="Z773" s="92"/>
    </row>
    <row r="774" spans="1:26" hidden="1">
      <c r="A774" s="92"/>
      <c r="B774" s="92"/>
      <c r="C774" s="92"/>
      <c r="D774" s="92"/>
      <c r="E774" s="92"/>
      <c r="F774" s="92"/>
      <c r="G774" s="92"/>
      <c r="H774" s="92"/>
      <c r="I774" s="92"/>
      <c r="J774" s="92"/>
      <c r="K774" s="92"/>
      <c r="L774" s="92"/>
      <c r="M774" s="92"/>
      <c r="N774" s="92"/>
      <c r="O774" s="92"/>
      <c r="P774" s="92"/>
      <c r="Q774" s="92"/>
      <c r="R774" s="92"/>
      <c r="S774" s="92"/>
      <c r="T774" s="92"/>
      <c r="U774" s="92"/>
      <c r="V774" s="92"/>
      <c r="W774" s="92"/>
      <c r="X774" s="92"/>
      <c r="Y774" s="92"/>
      <c r="Z774" s="92"/>
    </row>
    <row r="775" spans="1:26" hidden="1">
      <c r="A775" s="92"/>
      <c r="B775" s="92"/>
      <c r="C775" s="92"/>
      <c r="D775" s="92"/>
      <c r="E775" s="92"/>
      <c r="F775" s="92"/>
      <c r="G775" s="92"/>
      <c r="H775" s="92"/>
      <c r="I775" s="92"/>
      <c r="J775" s="92"/>
      <c r="K775" s="92"/>
      <c r="L775" s="92"/>
      <c r="M775" s="92"/>
      <c r="N775" s="92"/>
      <c r="O775" s="92"/>
      <c r="P775" s="92"/>
      <c r="Q775" s="92"/>
      <c r="R775" s="92"/>
      <c r="S775" s="92"/>
      <c r="T775" s="92"/>
      <c r="U775" s="92"/>
      <c r="V775" s="92"/>
      <c r="W775" s="92"/>
      <c r="X775" s="92"/>
      <c r="Y775" s="92"/>
      <c r="Z775" s="92"/>
    </row>
    <row r="776" spans="1:26" hidden="1">
      <c r="A776" s="92"/>
      <c r="B776" s="92"/>
      <c r="C776" s="92"/>
      <c r="D776" s="92"/>
      <c r="E776" s="92"/>
      <c r="F776" s="92"/>
      <c r="G776" s="92"/>
      <c r="H776" s="92"/>
      <c r="I776" s="92"/>
      <c r="J776" s="92"/>
      <c r="K776" s="92"/>
      <c r="L776" s="92"/>
      <c r="M776" s="92"/>
      <c r="N776" s="92"/>
      <c r="O776" s="92"/>
      <c r="P776" s="92"/>
      <c r="Q776" s="92"/>
      <c r="R776" s="92"/>
      <c r="S776" s="92"/>
      <c r="T776" s="92"/>
      <c r="U776" s="92"/>
      <c r="V776" s="92"/>
      <c r="W776" s="92"/>
      <c r="X776" s="92"/>
      <c r="Y776" s="92"/>
      <c r="Z776" s="92"/>
    </row>
    <row r="777" spans="1:26" hidden="1">
      <c r="A777" s="92"/>
      <c r="B777" s="92"/>
      <c r="C777" s="92"/>
      <c r="D777" s="92"/>
      <c r="E777" s="92"/>
      <c r="F777" s="92"/>
      <c r="G777" s="92"/>
      <c r="H777" s="92"/>
      <c r="I777" s="92"/>
      <c r="J777" s="92"/>
      <c r="K777" s="92"/>
      <c r="L777" s="92"/>
      <c r="M777" s="92"/>
      <c r="N777" s="92"/>
      <c r="O777" s="92"/>
      <c r="P777" s="92"/>
      <c r="Q777" s="92"/>
      <c r="R777" s="92"/>
      <c r="S777" s="92"/>
      <c r="T777" s="92"/>
      <c r="U777" s="92"/>
      <c r="V777" s="92"/>
      <c r="W777" s="92"/>
      <c r="X777" s="92"/>
      <c r="Y777" s="92"/>
      <c r="Z777" s="92"/>
    </row>
    <row r="778" spans="1:26" hidden="1">
      <c r="A778" s="92"/>
      <c r="B778" s="92"/>
      <c r="C778" s="92"/>
      <c r="D778" s="92"/>
      <c r="E778" s="92"/>
      <c r="F778" s="92"/>
      <c r="G778" s="92"/>
      <c r="H778" s="92"/>
      <c r="I778" s="92"/>
      <c r="J778" s="92"/>
      <c r="K778" s="92"/>
      <c r="L778" s="92"/>
      <c r="M778" s="92"/>
      <c r="N778" s="92"/>
      <c r="O778" s="92"/>
      <c r="P778" s="92"/>
      <c r="Q778" s="92"/>
      <c r="R778" s="92"/>
      <c r="S778" s="92"/>
      <c r="T778" s="92"/>
      <c r="U778" s="92"/>
      <c r="V778" s="92"/>
      <c r="W778" s="92"/>
      <c r="X778" s="92"/>
      <c r="Y778" s="92"/>
      <c r="Z778" s="92"/>
    </row>
    <row r="779" spans="1:26" hidden="1">
      <c r="A779" s="92"/>
      <c r="B779" s="92"/>
      <c r="C779" s="92"/>
      <c r="D779" s="92"/>
      <c r="E779" s="92"/>
      <c r="F779" s="92"/>
      <c r="G779" s="92"/>
      <c r="H779" s="92"/>
      <c r="I779" s="92"/>
      <c r="J779" s="92"/>
      <c r="K779" s="92"/>
      <c r="L779" s="92"/>
      <c r="M779" s="92"/>
      <c r="N779" s="92"/>
      <c r="O779" s="92"/>
      <c r="P779" s="92"/>
      <c r="Q779" s="92"/>
      <c r="R779" s="92"/>
      <c r="S779" s="92"/>
      <c r="T779" s="92"/>
      <c r="U779" s="92"/>
      <c r="V779" s="92"/>
      <c r="W779" s="92"/>
      <c r="X779" s="92"/>
      <c r="Y779" s="92"/>
      <c r="Z779" s="92"/>
    </row>
    <row r="780" spans="1:26" hidden="1">
      <c r="A780" s="92"/>
      <c r="B780" s="92"/>
      <c r="C780" s="92"/>
      <c r="D780" s="92"/>
      <c r="E780" s="92"/>
      <c r="F780" s="92"/>
      <c r="G780" s="92"/>
      <c r="H780" s="92"/>
      <c r="I780" s="92"/>
      <c r="J780" s="92"/>
      <c r="K780" s="92"/>
      <c r="L780" s="92"/>
      <c r="M780" s="92"/>
      <c r="N780" s="92"/>
      <c r="O780" s="92"/>
      <c r="P780" s="92"/>
      <c r="Q780" s="92"/>
      <c r="R780" s="92"/>
      <c r="S780" s="92"/>
      <c r="T780" s="92"/>
      <c r="U780" s="92"/>
      <c r="V780" s="92"/>
      <c r="W780" s="92"/>
      <c r="X780" s="92"/>
      <c r="Y780" s="92"/>
      <c r="Z780" s="92"/>
    </row>
    <row r="781" spans="1:26" hidden="1">
      <c r="A781" s="92"/>
      <c r="B781" s="92"/>
      <c r="C781" s="92"/>
      <c r="D781" s="92"/>
      <c r="E781" s="92"/>
      <c r="F781" s="92"/>
      <c r="G781" s="92"/>
      <c r="H781" s="92"/>
      <c r="I781" s="92"/>
      <c r="J781" s="92"/>
      <c r="K781" s="92"/>
      <c r="L781" s="92"/>
      <c r="M781" s="92"/>
      <c r="N781" s="92"/>
      <c r="O781" s="92"/>
      <c r="P781" s="92"/>
      <c r="Q781" s="92"/>
      <c r="R781" s="92"/>
      <c r="S781" s="92"/>
      <c r="T781" s="92"/>
      <c r="U781" s="92"/>
      <c r="V781" s="92"/>
      <c r="W781" s="92"/>
      <c r="X781" s="92"/>
      <c r="Y781" s="92"/>
      <c r="Z781" s="92"/>
    </row>
    <row r="782" spans="1:26" hidden="1">
      <c r="A782" s="92"/>
      <c r="B782" s="92"/>
      <c r="C782" s="92"/>
      <c r="D782" s="92"/>
      <c r="E782" s="92"/>
      <c r="F782" s="92"/>
      <c r="G782" s="92"/>
      <c r="H782" s="92"/>
      <c r="I782" s="92"/>
      <c r="J782" s="92"/>
      <c r="K782" s="92"/>
      <c r="L782" s="92"/>
      <c r="M782" s="92"/>
      <c r="N782" s="92"/>
      <c r="O782" s="92"/>
      <c r="P782" s="92"/>
      <c r="Q782" s="92"/>
      <c r="R782" s="92"/>
      <c r="S782" s="92"/>
      <c r="T782" s="92"/>
      <c r="U782" s="92"/>
      <c r="V782" s="92"/>
      <c r="W782" s="92"/>
      <c r="X782" s="92"/>
      <c r="Y782" s="92"/>
      <c r="Z782" s="92"/>
    </row>
    <row r="783" spans="1:26" hidden="1">
      <c r="A783" s="92"/>
      <c r="B783" s="92"/>
      <c r="C783" s="92"/>
      <c r="D783" s="92"/>
      <c r="E783" s="92"/>
      <c r="F783" s="92"/>
      <c r="G783" s="92"/>
      <c r="H783" s="92"/>
      <c r="I783" s="92"/>
      <c r="J783" s="92"/>
      <c r="K783" s="92"/>
      <c r="L783" s="92"/>
      <c r="M783" s="92"/>
      <c r="N783" s="92"/>
      <c r="O783" s="92"/>
      <c r="P783" s="92"/>
      <c r="Q783" s="92"/>
      <c r="R783" s="92"/>
      <c r="S783" s="92"/>
      <c r="T783" s="92"/>
      <c r="U783" s="92"/>
      <c r="V783" s="92"/>
      <c r="W783" s="92"/>
      <c r="X783" s="92"/>
      <c r="Y783" s="92"/>
      <c r="Z783" s="92"/>
    </row>
    <row r="784" spans="1:26" hidden="1">
      <c r="A784" s="92"/>
      <c r="B784" s="92"/>
      <c r="C784" s="92"/>
      <c r="D784" s="92"/>
      <c r="E784" s="92"/>
      <c r="F784" s="92"/>
      <c r="G784" s="92"/>
      <c r="H784" s="92"/>
      <c r="I784" s="92"/>
      <c r="J784" s="92"/>
      <c r="K784" s="92"/>
      <c r="L784" s="92"/>
      <c r="M784" s="92"/>
      <c r="N784" s="92"/>
      <c r="O784" s="92"/>
      <c r="P784" s="92"/>
      <c r="Q784" s="92"/>
      <c r="R784" s="92"/>
      <c r="S784" s="92"/>
      <c r="T784" s="92"/>
      <c r="U784" s="92"/>
      <c r="V784" s="92"/>
      <c r="W784" s="92"/>
      <c r="X784" s="92"/>
      <c r="Y784" s="92"/>
      <c r="Z784" s="92"/>
    </row>
    <row r="785" spans="1:26" hidden="1">
      <c r="A785" s="92"/>
      <c r="B785" s="92"/>
      <c r="C785" s="92"/>
      <c r="D785" s="92"/>
      <c r="E785" s="92"/>
      <c r="F785" s="92"/>
      <c r="G785" s="92"/>
      <c r="H785" s="92"/>
      <c r="I785" s="92"/>
      <c r="J785" s="92"/>
      <c r="K785" s="92"/>
      <c r="L785" s="92"/>
      <c r="M785" s="92"/>
      <c r="N785" s="92"/>
      <c r="O785" s="92"/>
      <c r="P785" s="92"/>
      <c r="Q785" s="92"/>
      <c r="R785" s="92"/>
      <c r="S785" s="92"/>
      <c r="T785" s="92"/>
      <c r="U785" s="92"/>
      <c r="V785" s="92"/>
      <c r="W785" s="92"/>
      <c r="X785" s="92"/>
      <c r="Y785" s="92"/>
      <c r="Z785" s="92"/>
    </row>
    <row r="786" spans="1:26" hidden="1">
      <c r="A786" s="92"/>
      <c r="B786" s="92"/>
      <c r="C786" s="92"/>
      <c r="D786" s="92"/>
      <c r="E786" s="92"/>
      <c r="F786" s="92"/>
      <c r="G786" s="92"/>
      <c r="H786" s="92"/>
      <c r="I786" s="92"/>
      <c r="J786" s="92"/>
      <c r="K786" s="92"/>
      <c r="L786" s="92"/>
      <c r="M786" s="92"/>
      <c r="N786" s="92"/>
      <c r="O786" s="92"/>
      <c r="P786" s="92"/>
      <c r="Q786" s="92"/>
      <c r="R786" s="92"/>
      <c r="S786" s="92"/>
      <c r="T786" s="92"/>
      <c r="U786" s="92"/>
      <c r="V786" s="92"/>
      <c r="W786" s="92"/>
      <c r="X786" s="92"/>
      <c r="Y786" s="92"/>
      <c r="Z786" s="92"/>
    </row>
    <row r="787" spans="1:26" hidden="1">
      <c r="A787" s="92"/>
      <c r="B787" s="92"/>
      <c r="C787" s="92"/>
      <c r="D787" s="92"/>
      <c r="E787" s="92"/>
      <c r="F787" s="92"/>
      <c r="G787" s="92"/>
      <c r="H787" s="92"/>
      <c r="I787" s="92"/>
      <c r="J787" s="92"/>
      <c r="K787" s="92"/>
      <c r="L787" s="92"/>
      <c r="M787" s="92"/>
      <c r="N787" s="92"/>
      <c r="O787" s="92"/>
      <c r="P787" s="92"/>
      <c r="Q787" s="92"/>
      <c r="R787" s="92"/>
      <c r="S787" s="92"/>
      <c r="T787" s="92"/>
      <c r="U787" s="92"/>
      <c r="V787" s="92"/>
      <c r="W787" s="92"/>
      <c r="X787" s="92"/>
      <c r="Y787" s="92"/>
      <c r="Z787" s="92"/>
    </row>
    <row r="788" spans="1:26" hidden="1">
      <c r="A788" s="92"/>
      <c r="B788" s="92"/>
      <c r="C788" s="92"/>
      <c r="D788" s="92"/>
      <c r="E788" s="92"/>
      <c r="F788" s="92"/>
      <c r="G788" s="92"/>
      <c r="H788" s="92"/>
      <c r="I788" s="92"/>
      <c r="J788" s="92"/>
      <c r="K788" s="92"/>
      <c r="L788" s="92"/>
      <c r="M788" s="92"/>
      <c r="N788" s="92"/>
      <c r="O788" s="92"/>
      <c r="P788" s="92"/>
      <c r="Q788" s="92"/>
      <c r="R788" s="92"/>
      <c r="S788" s="92"/>
      <c r="T788" s="92"/>
      <c r="U788" s="92"/>
      <c r="V788" s="92"/>
      <c r="W788" s="92"/>
      <c r="X788" s="92"/>
      <c r="Y788" s="92"/>
      <c r="Z788" s="92"/>
    </row>
    <row r="789" spans="1:26" hidden="1">
      <c r="A789" s="92"/>
      <c r="B789" s="92"/>
      <c r="C789" s="92"/>
      <c r="D789" s="92"/>
      <c r="E789" s="92"/>
      <c r="F789" s="92"/>
      <c r="G789" s="92"/>
      <c r="H789" s="92"/>
      <c r="I789" s="92"/>
      <c r="J789" s="92"/>
      <c r="K789" s="92"/>
      <c r="L789" s="92"/>
      <c r="M789" s="92"/>
      <c r="N789" s="92"/>
      <c r="O789" s="92"/>
      <c r="P789" s="92"/>
      <c r="Q789" s="92"/>
      <c r="R789" s="92"/>
      <c r="S789" s="92"/>
      <c r="T789" s="92"/>
      <c r="U789" s="92"/>
      <c r="V789" s="92"/>
      <c r="W789" s="92"/>
      <c r="X789" s="92"/>
      <c r="Y789" s="92"/>
      <c r="Z789" s="92"/>
    </row>
    <row r="790" spans="1:26" hidden="1">
      <c r="A790" s="92"/>
      <c r="B790" s="92"/>
      <c r="C790" s="92"/>
      <c r="D790" s="92"/>
      <c r="E790" s="92"/>
      <c r="F790" s="92"/>
      <c r="G790" s="92"/>
      <c r="H790" s="92"/>
      <c r="I790" s="92"/>
      <c r="J790" s="92"/>
      <c r="K790" s="92"/>
      <c r="L790" s="92"/>
      <c r="M790" s="92"/>
      <c r="N790" s="92"/>
      <c r="O790" s="92"/>
      <c r="P790" s="92"/>
      <c r="Q790" s="92"/>
      <c r="R790" s="92"/>
      <c r="S790" s="92"/>
      <c r="T790" s="92"/>
      <c r="U790" s="92"/>
      <c r="V790" s="92"/>
      <c r="W790" s="92"/>
      <c r="X790" s="92"/>
      <c r="Y790" s="92"/>
      <c r="Z790" s="92"/>
    </row>
    <row r="791" spans="1:26" hidden="1">
      <c r="A791" s="92"/>
      <c r="B791" s="92"/>
      <c r="C791" s="92"/>
      <c r="D791" s="92"/>
      <c r="E791" s="92"/>
      <c r="F791" s="92"/>
      <c r="G791" s="92"/>
      <c r="H791" s="92"/>
      <c r="I791" s="92"/>
      <c r="J791" s="92"/>
      <c r="K791" s="92"/>
      <c r="L791" s="92"/>
      <c r="M791" s="92"/>
      <c r="N791" s="92"/>
      <c r="O791" s="92"/>
      <c r="P791" s="92"/>
      <c r="Q791" s="92"/>
      <c r="R791" s="92"/>
      <c r="S791" s="92"/>
      <c r="T791" s="92"/>
      <c r="U791" s="92"/>
      <c r="V791" s="92"/>
      <c r="W791" s="92"/>
      <c r="X791" s="92"/>
      <c r="Y791" s="92"/>
      <c r="Z791" s="92"/>
    </row>
    <row r="792" spans="1:26" hidden="1">
      <c r="A792" s="92"/>
      <c r="B792" s="92"/>
      <c r="C792" s="92"/>
      <c r="D792" s="92"/>
      <c r="E792" s="92"/>
      <c r="F792" s="92"/>
      <c r="G792" s="92"/>
      <c r="H792" s="92"/>
      <c r="I792" s="92"/>
      <c r="J792" s="92"/>
      <c r="K792" s="92"/>
      <c r="L792" s="92"/>
      <c r="M792" s="92"/>
      <c r="N792" s="92"/>
      <c r="O792" s="92"/>
      <c r="P792" s="92"/>
      <c r="Q792" s="92"/>
      <c r="R792" s="92"/>
      <c r="S792" s="92"/>
      <c r="T792" s="92"/>
      <c r="U792" s="92"/>
      <c r="V792" s="92"/>
      <c r="W792" s="92"/>
      <c r="X792" s="92"/>
      <c r="Y792" s="92"/>
      <c r="Z792" s="92"/>
    </row>
    <row r="793" spans="1:26" hidden="1">
      <c r="A793" s="92"/>
      <c r="B793" s="92"/>
      <c r="C793" s="92"/>
      <c r="D793" s="92"/>
      <c r="E793" s="92"/>
      <c r="F793" s="92"/>
      <c r="G793" s="92"/>
      <c r="H793" s="92"/>
      <c r="I793" s="92"/>
      <c r="J793" s="92"/>
      <c r="K793" s="92"/>
      <c r="L793" s="92"/>
      <c r="M793" s="92"/>
      <c r="N793" s="92"/>
      <c r="O793" s="92"/>
      <c r="P793" s="92"/>
      <c r="Q793" s="92"/>
      <c r="R793" s="92"/>
      <c r="S793" s="92"/>
      <c r="T793" s="92"/>
      <c r="U793" s="92"/>
      <c r="V793" s="92"/>
      <c r="W793" s="92"/>
      <c r="X793" s="92"/>
      <c r="Y793" s="92"/>
      <c r="Z793" s="92"/>
    </row>
    <row r="794" spans="1:26" hidden="1">
      <c r="A794" s="92"/>
      <c r="B794" s="92"/>
      <c r="C794" s="92"/>
      <c r="D794" s="92"/>
      <c r="E794" s="92"/>
      <c r="F794" s="92"/>
      <c r="G794" s="92"/>
      <c r="H794" s="92"/>
      <c r="I794" s="92"/>
      <c r="J794" s="92"/>
      <c r="K794" s="92"/>
      <c r="L794" s="92"/>
      <c r="M794" s="92"/>
      <c r="N794" s="92"/>
      <c r="O794" s="92"/>
      <c r="P794" s="92"/>
      <c r="Q794" s="92"/>
      <c r="R794" s="92"/>
      <c r="S794" s="92"/>
      <c r="T794" s="92"/>
      <c r="U794" s="92"/>
      <c r="V794" s="92"/>
      <c r="W794" s="92"/>
      <c r="X794" s="92"/>
      <c r="Y794" s="92"/>
      <c r="Z794" s="92"/>
    </row>
    <row r="795" spans="1:26" hidden="1">
      <c r="A795" s="92"/>
      <c r="B795" s="92"/>
      <c r="C795" s="92"/>
      <c r="D795" s="92"/>
      <c r="E795" s="92"/>
      <c r="F795" s="92"/>
      <c r="G795" s="92"/>
      <c r="H795" s="92"/>
      <c r="I795" s="92"/>
      <c r="J795" s="92"/>
      <c r="K795" s="92"/>
      <c r="L795" s="92"/>
      <c r="M795" s="92"/>
      <c r="N795" s="92"/>
      <c r="O795" s="92"/>
      <c r="P795" s="92"/>
      <c r="Q795" s="92"/>
      <c r="R795" s="92"/>
      <c r="S795" s="92"/>
      <c r="T795" s="92"/>
      <c r="U795" s="92"/>
      <c r="V795" s="92"/>
      <c r="W795" s="92"/>
      <c r="X795" s="92"/>
      <c r="Y795" s="92"/>
      <c r="Z795" s="92"/>
    </row>
    <row r="796" spans="1:26" hidden="1">
      <c r="A796" s="92"/>
      <c r="B796" s="92"/>
      <c r="C796" s="92"/>
      <c r="D796" s="92"/>
      <c r="E796" s="92"/>
      <c r="F796" s="92"/>
      <c r="G796" s="92"/>
      <c r="H796" s="92"/>
      <c r="I796" s="92"/>
      <c r="J796" s="92"/>
      <c r="K796" s="92"/>
      <c r="L796" s="92"/>
      <c r="M796" s="92"/>
      <c r="N796" s="92"/>
      <c r="O796" s="92"/>
      <c r="P796" s="92"/>
      <c r="Q796" s="92"/>
      <c r="R796" s="92"/>
      <c r="S796" s="92"/>
      <c r="T796" s="92"/>
      <c r="U796" s="92"/>
      <c r="V796" s="92"/>
      <c r="W796" s="92"/>
      <c r="X796" s="92"/>
      <c r="Y796" s="92"/>
      <c r="Z796" s="92"/>
    </row>
    <row r="797" spans="1:26" hidden="1">
      <c r="A797" s="92"/>
      <c r="B797" s="92"/>
      <c r="C797" s="92"/>
      <c r="D797" s="92"/>
      <c r="E797" s="92"/>
      <c r="F797" s="92"/>
      <c r="G797" s="92"/>
      <c r="H797" s="92"/>
      <c r="I797" s="92"/>
      <c r="J797" s="92"/>
      <c r="K797" s="92"/>
      <c r="L797" s="92"/>
      <c r="M797" s="92"/>
      <c r="N797" s="92"/>
      <c r="O797" s="92"/>
      <c r="P797" s="92"/>
      <c r="Q797" s="92"/>
      <c r="R797" s="92"/>
      <c r="S797" s="92"/>
      <c r="T797" s="92"/>
      <c r="U797" s="92"/>
      <c r="V797" s="92"/>
      <c r="W797" s="92"/>
      <c r="X797" s="92"/>
      <c r="Y797" s="92"/>
      <c r="Z797" s="92"/>
    </row>
    <row r="798" spans="1:26" hidden="1">
      <c r="A798" s="92"/>
      <c r="B798" s="92"/>
      <c r="C798" s="92"/>
      <c r="D798" s="92"/>
      <c r="E798" s="92"/>
      <c r="F798" s="92"/>
      <c r="G798" s="92"/>
      <c r="H798" s="92"/>
      <c r="I798" s="92"/>
      <c r="J798" s="92"/>
      <c r="K798" s="92"/>
      <c r="L798" s="92"/>
      <c r="M798" s="92"/>
      <c r="N798" s="92"/>
      <c r="O798" s="92"/>
      <c r="P798" s="92"/>
      <c r="Q798" s="92"/>
      <c r="R798" s="92"/>
      <c r="S798" s="92"/>
      <c r="T798" s="92"/>
      <c r="U798" s="92"/>
      <c r="V798" s="92"/>
      <c r="W798" s="92"/>
      <c r="X798" s="92"/>
      <c r="Y798" s="92"/>
      <c r="Z798" s="92"/>
    </row>
    <row r="799" spans="1:26" hidden="1">
      <c r="A799" s="92"/>
      <c r="B799" s="92"/>
      <c r="C799" s="92"/>
      <c r="D799" s="92"/>
      <c r="E799" s="92"/>
      <c r="F799" s="92"/>
      <c r="G799" s="92"/>
      <c r="H799" s="92"/>
      <c r="I799" s="92"/>
      <c r="J799" s="92"/>
      <c r="K799" s="92"/>
      <c r="L799" s="92"/>
      <c r="M799" s="92"/>
      <c r="N799" s="92"/>
      <c r="O799" s="92"/>
      <c r="P799" s="92"/>
      <c r="Q799" s="92"/>
      <c r="R799" s="92"/>
      <c r="S799" s="92"/>
      <c r="T799" s="92"/>
      <c r="U799" s="92"/>
      <c r="V799" s="92"/>
      <c r="W799" s="92"/>
      <c r="X799" s="92"/>
      <c r="Y799" s="92"/>
      <c r="Z799" s="92"/>
    </row>
    <row r="800" spans="1:26" hidden="1">
      <c r="A800" s="92"/>
      <c r="B800" s="92"/>
      <c r="C800" s="92"/>
      <c r="D800" s="92"/>
      <c r="E800" s="92"/>
      <c r="F800" s="92"/>
      <c r="G800" s="92"/>
      <c r="H800" s="92"/>
      <c r="I800" s="92"/>
      <c r="J800" s="92"/>
      <c r="K800" s="92"/>
      <c r="L800" s="92"/>
      <c r="M800" s="92"/>
      <c r="N800" s="92"/>
      <c r="O800" s="92"/>
      <c r="P800" s="92"/>
      <c r="Q800" s="92"/>
      <c r="R800" s="92"/>
      <c r="S800" s="92"/>
      <c r="T800" s="92"/>
      <c r="U800" s="92"/>
      <c r="V800" s="92"/>
      <c r="W800" s="92"/>
      <c r="X800" s="92"/>
      <c r="Y800" s="92"/>
      <c r="Z800" s="92"/>
    </row>
    <row r="801" spans="1:26" hidden="1">
      <c r="A801" s="92"/>
      <c r="B801" s="92"/>
      <c r="C801" s="92"/>
      <c r="D801" s="92"/>
      <c r="E801" s="92"/>
      <c r="F801" s="92"/>
      <c r="G801" s="92"/>
      <c r="H801" s="92"/>
      <c r="I801" s="92"/>
      <c r="J801" s="92"/>
      <c r="K801" s="92"/>
      <c r="L801" s="92"/>
      <c r="M801" s="92"/>
      <c r="N801" s="92"/>
      <c r="O801" s="92"/>
      <c r="P801" s="92"/>
      <c r="Q801" s="92"/>
      <c r="R801" s="92"/>
      <c r="S801" s="92"/>
      <c r="T801" s="92"/>
      <c r="U801" s="92"/>
      <c r="V801" s="92"/>
      <c r="W801" s="92"/>
      <c r="X801" s="92"/>
      <c r="Y801" s="92"/>
      <c r="Z801" s="92"/>
    </row>
    <row r="802" spans="1:26" hidden="1">
      <c r="A802" s="92"/>
      <c r="B802" s="92"/>
      <c r="C802" s="92"/>
      <c r="D802" s="92"/>
      <c r="E802" s="92"/>
      <c r="F802" s="92"/>
      <c r="G802" s="92"/>
      <c r="H802" s="92"/>
      <c r="I802" s="92"/>
      <c r="J802" s="92"/>
      <c r="K802" s="92"/>
      <c r="L802" s="92"/>
      <c r="M802" s="92"/>
      <c r="N802" s="92"/>
      <c r="O802" s="92"/>
      <c r="P802" s="92"/>
      <c r="Q802" s="92"/>
      <c r="R802" s="92"/>
      <c r="S802" s="92"/>
      <c r="T802" s="92"/>
      <c r="U802" s="92"/>
      <c r="V802" s="92"/>
      <c r="W802" s="92"/>
      <c r="X802" s="92"/>
      <c r="Y802" s="92"/>
      <c r="Z802" s="92"/>
    </row>
    <row r="803" spans="1:26" hidden="1">
      <c r="A803" s="92"/>
      <c r="B803" s="92"/>
      <c r="C803" s="92"/>
      <c r="D803" s="92"/>
      <c r="E803" s="92"/>
      <c r="F803" s="92"/>
      <c r="G803" s="92"/>
      <c r="H803" s="92"/>
      <c r="I803" s="92"/>
      <c r="J803" s="92"/>
      <c r="K803" s="92"/>
      <c r="L803" s="92"/>
      <c r="M803" s="92"/>
      <c r="N803" s="92"/>
      <c r="O803" s="92"/>
      <c r="P803" s="92"/>
      <c r="Q803" s="92"/>
      <c r="R803" s="92"/>
      <c r="S803" s="92"/>
      <c r="T803" s="92"/>
      <c r="U803" s="92"/>
      <c r="V803" s="92"/>
      <c r="W803" s="92"/>
      <c r="X803" s="92"/>
      <c r="Y803" s="92"/>
      <c r="Z803" s="92"/>
    </row>
    <row r="804" spans="1:26" hidden="1">
      <c r="A804" s="92"/>
      <c r="B804" s="92"/>
      <c r="C804" s="92"/>
      <c r="D804" s="92"/>
      <c r="E804" s="92"/>
      <c r="F804" s="92"/>
      <c r="G804" s="92"/>
      <c r="H804" s="92"/>
      <c r="I804" s="92"/>
      <c r="J804" s="92"/>
      <c r="K804" s="92"/>
      <c r="L804" s="92"/>
      <c r="M804" s="92"/>
      <c r="N804" s="92"/>
      <c r="O804" s="92"/>
      <c r="P804" s="92"/>
      <c r="Q804" s="92"/>
      <c r="R804" s="92"/>
      <c r="S804" s="92"/>
      <c r="T804" s="92"/>
      <c r="U804" s="92"/>
      <c r="V804" s="92"/>
      <c r="W804" s="92"/>
      <c r="X804" s="92"/>
      <c r="Y804" s="92"/>
      <c r="Z804" s="92"/>
    </row>
    <row r="805" spans="1:26" hidden="1">
      <c r="A805" s="92"/>
      <c r="B805" s="92"/>
      <c r="C805" s="92"/>
      <c r="D805" s="92"/>
      <c r="E805" s="92"/>
      <c r="F805" s="92"/>
      <c r="G805" s="92"/>
      <c r="H805" s="92"/>
      <c r="I805" s="92"/>
      <c r="J805" s="92"/>
      <c r="K805" s="92"/>
      <c r="L805" s="92"/>
      <c r="M805" s="92"/>
      <c r="N805" s="92"/>
      <c r="O805" s="92"/>
      <c r="P805" s="92"/>
      <c r="Q805" s="92"/>
      <c r="R805" s="92"/>
      <c r="S805" s="92"/>
      <c r="T805" s="92"/>
      <c r="U805" s="92"/>
      <c r="V805" s="92"/>
      <c r="W805" s="92"/>
      <c r="X805" s="92"/>
      <c r="Y805" s="92"/>
      <c r="Z805" s="92"/>
    </row>
    <row r="806" spans="1:26" hidden="1">
      <c r="A806" s="92"/>
      <c r="B806" s="92"/>
      <c r="C806" s="92"/>
      <c r="D806" s="92"/>
      <c r="E806" s="92"/>
      <c r="F806" s="92"/>
      <c r="G806" s="92"/>
      <c r="H806" s="92"/>
      <c r="I806" s="92"/>
      <c r="J806" s="92"/>
      <c r="K806" s="92"/>
      <c r="L806" s="92"/>
      <c r="M806" s="92"/>
      <c r="N806" s="92"/>
      <c r="O806" s="92"/>
      <c r="P806" s="92"/>
      <c r="Q806" s="92"/>
      <c r="R806" s="92"/>
      <c r="S806" s="92"/>
      <c r="T806" s="92"/>
      <c r="U806" s="92"/>
      <c r="V806" s="92"/>
      <c r="W806" s="92"/>
      <c r="X806" s="92"/>
      <c r="Y806" s="92"/>
      <c r="Z806" s="92"/>
    </row>
    <row r="807" spans="1:26" hidden="1">
      <c r="A807" s="92"/>
      <c r="B807" s="92"/>
      <c r="C807" s="92"/>
      <c r="D807" s="92"/>
      <c r="E807" s="92"/>
      <c r="F807" s="92"/>
      <c r="G807" s="92"/>
      <c r="H807" s="92"/>
      <c r="I807" s="92"/>
      <c r="J807" s="92"/>
      <c r="K807" s="92"/>
      <c r="L807" s="92"/>
      <c r="M807" s="92"/>
      <c r="N807" s="92"/>
      <c r="O807" s="92"/>
      <c r="P807" s="92"/>
      <c r="Q807" s="92"/>
      <c r="R807" s="92"/>
      <c r="S807" s="92"/>
      <c r="T807" s="92"/>
      <c r="U807" s="92"/>
      <c r="V807" s="92"/>
      <c r="W807" s="92"/>
      <c r="X807" s="92"/>
      <c r="Y807" s="92"/>
      <c r="Z807" s="92"/>
    </row>
    <row r="808" spans="1:26" hidden="1">
      <c r="A808" s="92"/>
      <c r="B808" s="92"/>
      <c r="C808" s="92"/>
      <c r="D808" s="92"/>
      <c r="E808" s="92"/>
      <c r="F808" s="92"/>
      <c r="G808" s="92"/>
      <c r="H808" s="92"/>
      <c r="I808" s="92"/>
      <c r="J808" s="92"/>
      <c r="K808" s="92"/>
      <c r="L808" s="92"/>
      <c r="M808" s="92"/>
      <c r="N808" s="92"/>
      <c r="O808" s="92"/>
      <c r="P808" s="92"/>
      <c r="Q808" s="92"/>
      <c r="R808" s="92"/>
      <c r="S808" s="92"/>
      <c r="T808" s="92"/>
      <c r="U808" s="92"/>
      <c r="V808" s="92"/>
      <c r="W808" s="92"/>
      <c r="X808" s="92"/>
      <c r="Y808" s="92"/>
      <c r="Z808" s="92"/>
    </row>
    <row r="809" spans="1:26" hidden="1">
      <c r="A809" s="92"/>
      <c r="B809" s="92"/>
      <c r="C809" s="92"/>
      <c r="D809" s="92"/>
      <c r="E809" s="92"/>
      <c r="F809" s="92"/>
      <c r="G809" s="92"/>
      <c r="H809" s="92"/>
      <c r="I809" s="92"/>
      <c r="J809" s="92"/>
      <c r="K809" s="92"/>
      <c r="L809" s="92"/>
      <c r="M809" s="92"/>
      <c r="N809" s="92"/>
      <c r="O809" s="92"/>
      <c r="P809" s="92"/>
      <c r="Q809" s="92"/>
      <c r="R809" s="92"/>
      <c r="S809" s="92"/>
      <c r="T809" s="92"/>
      <c r="U809" s="92"/>
      <c r="V809" s="92"/>
      <c r="W809" s="92"/>
      <c r="X809" s="92"/>
      <c r="Y809" s="92"/>
      <c r="Z809" s="92"/>
    </row>
    <row r="810" spans="1:26" hidden="1">
      <c r="A810" s="92"/>
      <c r="B810" s="92"/>
      <c r="C810" s="92"/>
      <c r="D810" s="92"/>
      <c r="E810" s="92"/>
      <c r="F810" s="92"/>
      <c r="G810" s="92"/>
      <c r="H810" s="92"/>
      <c r="I810" s="92"/>
      <c r="J810" s="92"/>
      <c r="K810" s="92"/>
      <c r="L810" s="92"/>
      <c r="M810" s="92"/>
      <c r="N810" s="92"/>
      <c r="O810" s="92"/>
      <c r="P810" s="92"/>
      <c r="Q810" s="92"/>
      <c r="R810" s="92"/>
      <c r="S810" s="92"/>
      <c r="T810" s="92"/>
      <c r="U810" s="92"/>
      <c r="V810" s="92"/>
      <c r="W810" s="92"/>
      <c r="X810" s="92"/>
      <c r="Y810" s="92"/>
      <c r="Z810" s="92"/>
    </row>
    <row r="811" spans="1:26" hidden="1">
      <c r="A811" s="92"/>
      <c r="B811" s="92"/>
      <c r="C811" s="92"/>
      <c r="D811" s="92"/>
      <c r="E811" s="92"/>
      <c r="F811" s="92"/>
      <c r="G811" s="92"/>
      <c r="H811" s="92"/>
      <c r="I811" s="92"/>
      <c r="J811" s="92"/>
      <c r="K811" s="92"/>
      <c r="L811" s="92"/>
      <c r="M811" s="92"/>
      <c r="N811" s="92"/>
      <c r="O811" s="92"/>
      <c r="P811" s="92"/>
      <c r="Q811" s="92"/>
      <c r="R811" s="92"/>
      <c r="S811" s="92"/>
      <c r="T811" s="92"/>
      <c r="U811" s="92"/>
      <c r="V811" s="92"/>
      <c r="W811" s="92"/>
      <c r="X811" s="92"/>
      <c r="Y811" s="92"/>
      <c r="Z811" s="92"/>
    </row>
    <row r="812" spans="1:26" hidden="1">
      <c r="A812" s="92"/>
      <c r="B812" s="92"/>
      <c r="C812" s="92"/>
      <c r="D812" s="92"/>
      <c r="E812" s="92"/>
      <c r="F812" s="92"/>
      <c r="G812" s="92"/>
      <c r="H812" s="92"/>
      <c r="I812" s="92"/>
      <c r="J812" s="92"/>
      <c r="K812" s="92"/>
      <c r="L812" s="92"/>
      <c r="M812" s="92"/>
      <c r="N812" s="92"/>
      <c r="O812" s="92"/>
      <c r="P812" s="92"/>
      <c r="Q812" s="92"/>
      <c r="R812" s="92"/>
      <c r="S812" s="92"/>
      <c r="T812" s="92"/>
      <c r="U812" s="92"/>
      <c r="V812" s="92"/>
      <c r="W812" s="92"/>
      <c r="X812" s="92"/>
      <c r="Y812" s="92"/>
      <c r="Z812" s="92"/>
    </row>
    <row r="813" spans="1:26" hidden="1">
      <c r="A813" s="92"/>
      <c r="B813" s="92"/>
      <c r="C813" s="92"/>
      <c r="D813" s="92"/>
      <c r="E813" s="92"/>
      <c r="F813" s="92"/>
      <c r="G813" s="92"/>
      <c r="H813" s="92"/>
      <c r="I813" s="92"/>
      <c r="J813" s="92"/>
      <c r="K813" s="92"/>
      <c r="L813" s="92"/>
      <c r="M813" s="92"/>
      <c r="N813" s="92"/>
      <c r="O813" s="92"/>
      <c r="P813" s="92"/>
      <c r="Q813" s="92"/>
      <c r="R813" s="92"/>
      <c r="S813" s="92"/>
      <c r="T813" s="92"/>
      <c r="U813" s="92"/>
      <c r="V813" s="92"/>
      <c r="W813" s="92"/>
      <c r="X813" s="92"/>
      <c r="Y813" s="92"/>
      <c r="Z813" s="92"/>
    </row>
    <row r="814" spans="1:26" hidden="1">
      <c r="A814" s="92"/>
      <c r="B814" s="92"/>
      <c r="C814" s="92"/>
      <c r="D814" s="92"/>
      <c r="E814" s="92"/>
      <c r="F814" s="92"/>
      <c r="G814" s="92"/>
      <c r="H814" s="92"/>
      <c r="I814" s="92"/>
      <c r="J814" s="92"/>
      <c r="K814" s="92"/>
      <c r="L814" s="92"/>
      <c r="M814" s="92"/>
      <c r="N814" s="92"/>
      <c r="O814" s="92"/>
      <c r="P814" s="92"/>
      <c r="Q814" s="92"/>
      <c r="R814" s="92"/>
      <c r="S814" s="92"/>
      <c r="T814" s="92"/>
      <c r="U814" s="92"/>
      <c r="V814" s="92"/>
      <c r="W814" s="92"/>
      <c r="X814" s="92"/>
      <c r="Y814" s="92"/>
      <c r="Z814" s="92"/>
    </row>
    <row r="815" spans="1:26" hidden="1">
      <c r="A815" s="92"/>
      <c r="B815" s="92"/>
      <c r="C815" s="92"/>
      <c r="D815" s="92"/>
      <c r="E815" s="92"/>
      <c r="F815" s="92"/>
      <c r="G815" s="92"/>
      <c r="H815" s="92"/>
      <c r="I815" s="92"/>
      <c r="J815" s="92"/>
      <c r="K815" s="92"/>
      <c r="L815" s="92"/>
      <c r="M815" s="92"/>
      <c r="N815" s="92"/>
      <c r="O815" s="92"/>
      <c r="P815" s="92"/>
      <c r="Q815" s="92"/>
      <c r="R815" s="92"/>
      <c r="S815" s="92"/>
      <c r="T815" s="92"/>
      <c r="U815" s="92"/>
      <c r="V815" s="92"/>
      <c r="W815" s="92"/>
      <c r="X815" s="92"/>
      <c r="Y815" s="92"/>
      <c r="Z815" s="92"/>
    </row>
    <row r="816" spans="1:26" hidden="1">
      <c r="A816" s="92"/>
      <c r="B816" s="92"/>
      <c r="C816" s="92"/>
      <c r="D816" s="92"/>
      <c r="E816" s="92"/>
      <c r="F816" s="92"/>
      <c r="G816" s="92"/>
      <c r="H816" s="92"/>
      <c r="I816" s="92"/>
      <c r="J816" s="92"/>
      <c r="K816" s="92"/>
      <c r="L816" s="92"/>
      <c r="M816" s="92"/>
      <c r="N816" s="92"/>
      <c r="O816" s="92"/>
      <c r="P816" s="92"/>
      <c r="Q816" s="92"/>
      <c r="R816" s="92"/>
      <c r="S816" s="92"/>
      <c r="T816" s="92"/>
      <c r="U816" s="92"/>
      <c r="V816" s="92"/>
      <c r="W816" s="92"/>
      <c r="X816" s="92"/>
      <c r="Y816" s="92"/>
      <c r="Z816" s="92"/>
    </row>
    <row r="817" spans="1:26" hidden="1">
      <c r="A817" s="92"/>
      <c r="B817" s="92"/>
      <c r="C817" s="92"/>
      <c r="D817" s="92"/>
      <c r="E817" s="92"/>
      <c r="F817" s="92"/>
      <c r="G817" s="92"/>
      <c r="H817" s="92"/>
      <c r="I817" s="92"/>
      <c r="J817" s="92"/>
      <c r="K817" s="92"/>
      <c r="L817" s="92"/>
      <c r="M817" s="92"/>
      <c r="N817" s="92"/>
      <c r="O817" s="92"/>
      <c r="P817" s="92"/>
      <c r="Q817" s="92"/>
      <c r="R817" s="92"/>
      <c r="S817" s="92"/>
      <c r="T817" s="92"/>
      <c r="U817" s="92"/>
      <c r="V817" s="92"/>
      <c r="W817" s="92"/>
      <c r="X817" s="92"/>
      <c r="Y817" s="92"/>
      <c r="Z817" s="92"/>
    </row>
    <row r="818" spans="1:26" hidden="1">
      <c r="A818" s="92"/>
      <c r="B818" s="92"/>
      <c r="C818" s="92"/>
      <c r="D818" s="92"/>
      <c r="E818" s="92"/>
      <c r="F818" s="92"/>
      <c r="G818" s="92"/>
      <c r="H818" s="92"/>
      <c r="I818" s="92"/>
      <c r="J818" s="92"/>
      <c r="K818" s="92"/>
      <c r="L818" s="92"/>
      <c r="M818" s="92"/>
      <c r="N818" s="92"/>
      <c r="O818" s="92"/>
      <c r="P818" s="92"/>
      <c r="Q818" s="92"/>
      <c r="R818" s="92"/>
      <c r="S818" s="92"/>
      <c r="T818" s="92"/>
      <c r="U818" s="92"/>
      <c r="V818" s="92"/>
      <c r="W818" s="92"/>
      <c r="X818" s="92"/>
      <c r="Y818" s="92"/>
      <c r="Z818" s="92"/>
    </row>
    <row r="819" spans="1:26" hidden="1">
      <c r="A819" s="92"/>
      <c r="B819" s="92"/>
      <c r="C819" s="92"/>
      <c r="D819" s="92"/>
      <c r="E819" s="92"/>
      <c r="F819" s="92"/>
      <c r="G819" s="92"/>
      <c r="H819" s="92"/>
      <c r="I819" s="92"/>
      <c r="J819" s="92"/>
      <c r="K819" s="92"/>
      <c r="L819" s="92"/>
      <c r="M819" s="92"/>
      <c r="N819" s="92"/>
      <c r="O819" s="92"/>
      <c r="P819" s="92"/>
      <c r="Q819" s="92"/>
      <c r="R819" s="92"/>
      <c r="S819" s="92"/>
      <c r="T819" s="92"/>
      <c r="U819" s="92"/>
      <c r="V819" s="92"/>
      <c r="W819" s="92"/>
      <c r="X819" s="92"/>
      <c r="Y819" s="92"/>
      <c r="Z819" s="92"/>
    </row>
    <row r="820" spans="1:26" hidden="1">
      <c r="A820" s="92"/>
      <c r="B820" s="92"/>
      <c r="C820" s="92"/>
      <c r="D820" s="92"/>
      <c r="E820" s="92"/>
      <c r="F820" s="92"/>
      <c r="G820" s="92"/>
      <c r="H820" s="92"/>
      <c r="I820" s="92"/>
      <c r="J820" s="92"/>
      <c r="K820" s="92"/>
      <c r="L820" s="92"/>
      <c r="M820" s="92"/>
      <c r="N820" s="92"/>
      <c r="O820" s="92"/>
      <c r="P820" s="92"/>
      <c r="Q820" s="92"/>
      <c r="R820" s="92"/>
      <c r="S820" s="92"/>
      <c r="T820" s="92"/>
      <c r="U820" s="92"/>
      <c r="V820" s="92"/>
      <c r="W820" s="92"/>
      <c r="X820" s="92"/>
      <c r="Y820" s="92"/>
      <c r="Z820" s="92"/>
    </row>
    <row r="821" spans="1:26" hidden="1">
      <c r="A821" s="92"/>
      <c r="B821" s="92"/>
      <c r="C821" s="92"/>
      <c r="D821" s="92"/>
      <c r="E821" s="92"/>
      <c r="F821" s="92"/>
      <c r="G821" s="92"/>
      <c r="H821" s="92"/>
      <c r="I821" s="92"/>
      <c r="J821" s="92"/>
      <c r="K821" s="92"/>
      <c r="L821" s="92"/>
      <c r="M821" s="92"/>
      <c r="N821" s="92"/>
      <c r="O821" s="92"/>
      <c r="P821" s="92"/>
      <c r="Q821" s="92"/>
      <c r="R821" s="92"/>
      <c r="S821" s="92"/>
      <c r="T821" s="92"/>
      <c r="U821" s="92"/>
      <c r="V821" s="92"/>
      <c r="W821" s="92"/>
      <c r="X821" s="92"/>
      <c r="Y821" s="92"/>
      <c r="Z821" s="92"/>
    </row>
    <row r="822" spans="1:26" hidden="1">
      <c r="A822" s="92"/>
      <c r="B822" s="92"/>
      <c r="C822" s="92"/>
      <c r="D822" s="92"/>
      <c r="E822" s="92"/>
      <c r="F822" s="92"/>
      <c r="G822" s="92"/>
      <c r="H822" s="92"/>
      <c r="I822" s="92"/>
      <c r="J822" s="92"/>
      <c r="K822" s="92"/>
      <c r="L822" s="92"/>
      <c r="M822" s="92"/>
      <c r="N822" s="92"/>
      <c r="O822" s="92"/>
      <c r="P822" s="92"/>
      <c r="Q822" s="92"/>
      <c r="R822" s="92"/>
      <c r="S822" s="92"/>
      <c r="T822" s="92"/>
      <c r="U822" s="92"/>
      <c r="V822" s="92"/>
      <c r="W822" s="92"/>
      <c r="X822" s="92"/>
      <c r="Y822" s="92"/>
      <c r="Z822" s="92"/>
    </row>
    <row r="823" spans="1:26" hidden="1">
      <c r="A823" s="92"/>
      <c r="B823" s="92"/>
      <c r="C823" s="92"/>
      <c r="D823" s="92"/>
      <c r="E823" s="92"/>
      <c r="F823" s="92"/>
      <c r="G823" s="92"/>
      <c r="H823" s="92"/>
      <c r="I823" s="92"/>
      <c r="J823" s="92"/>
      <c r="K823" s="92"/>
      <c r="L823" s="92"/>
      <c r="M823" s="92"/>
      <c r="N823" s="92"/>
      <c r="O823" s="92"/>
      <c r="P823" s="92"/>
      <c r="Q823" s="92"/>
      <c r="R823" s="92"/>
      <c r="S823" s="92"/>
      <c r="T823" s="92"/>
      <c r="U823" s="92"/>
      <c r="V823" s="92"/>
      <c r="W823" s="92"/>
      <c r="X823" s="92"/>
      <c r="Y823" s="92"/>
      <c r="Z823" s="92"/>
    </row>
    <row r="824" spans="1:26" hidden="1">
      <c r="A824" s="92"/>
      <c r="B824" s="92"/>
      <c r="C824" s="92"/>
      <c r="D824" s="92"/>
      <c r="E824" s="92"/>
      <c r="F824" s="92"/>
      <c r="G824" s="92"/>
      <c r="H824" s="92"/>
      <c r="I824" s="92"/>
      <c r="J824" s="92"/>
      <c r="K824" s="92"/>
      <c r="L824" s="92"/>
      <c r="M824" s="92"/>
      <c r="N824" s="92"/>
      <c r="O824" s="92"/>
      <c r="P824" s="92"/>
      <c r="Q824" s="92"/>
      <c r="R824" s="92"/>
      <c r="S824" s="92"/>
      <c r="T824" s="92"/>
      <c r="U824" s="92"/>
      <c r="V824" s="92"/>
      <c r="W824" s="92"/>
      <c r="X824" s="92"/>
      <c r="Y824" s="92"/>
      <c r="Z824" s="92"/>
    </row>
    <row r="825" spans="1:26" hidden="1">
      <c r="A825" s="92"/>
      <c r="B825" s="92"/>
      <c r="C825" s="92"/>
      <c r="D825" s="92"/>
      <c r="E825" s="92"/>
      <c r="F825" s="92"/>
      <c r="G825" s="92"/>
      <c r="H825" s="92"/>
      <c r="I825" s="92"/>
      <c r="J825" s="92"/>
      <c r="K825" s="92"/>
      <c r="L825" s="92"/>
      <c r="M825" s="92"/>
      <c r="N825" s="92"/>
      <c r="O825" s="92"/>
      <c r="P825" s="92"/>
      <c r="Q825" s="92"/>
      <c r="R825" s="92"/>
      <c r="S825" s="92"/>
      <c r="T825" s="92"/>
      <c r="U825" s="92"/>
      <c r="V825" s="92"/>
      <c r="W825" s="92"/>
      <c r="X825" s="92"/>
      <c r="Y825" s="92"/>
      <c r="Z825" s="92"/>
    </row>
    <row r="826" spans="1:26" hidden="1">
      <c r="A826" s="92"/>
      <c r="B826" s="92"/>
      <c r="C826" s="92"/>
      <c r="D826" s="92"/>
      <c r="E826" s="92"/>
      <c r="F826" s="92"/>
      <c r="G826" s="92"/>
      <c r="H826" s="92"/>
      <c r="I826" s="92"/>
      <c r="J826" s="92"/>
      <c r="K826" s="92"/>
      <c r="L826" s="92"/>
      <c r="M826" s="92"/>
      <c r="N826" s="92"/>
      <c r="O826" s="92"/>
      <c r="P826" s="92"/>
      <c r="Q826" s="92"/>
      <c r="R826" s="92"/>
      <c r="S826" s="92"/>
      <c r="T826" s="92"/>
      <c r="U826" s="92"/>
      <c r="V826" s="92"/>
      <c r="W826" s="92"/>
      <c r="X826" s="92"/>
      <c r="Y826" s="92"/>
      <c r="Z826" s="92"/>
    </row>
    <row r="827" spans="1:26" hidden="1">
      <c r="A827" s="92"/>
      <c r="B827" s="92"/>
      <c r="C827" s="92"/>
      <c r="D827" s="92"/>
      <c r="E827" s="92"/>
      <c r="F827" s="92"/>
      <c r="G827" s="92"/>
      <c r="H827" s="92"/>
      <c r="I827" s="92"/>
      <c r="J827" s="92"/>
      <c r="K827" s="92"/>
      <c r="L827" s="92"/>
      <c r="M827" s="92"/>
      <c r="N827" s="92"/>
      <c r="O827" s="92"/>
      <c r="P827" s="92"/>
      <c r="Q827" s="92"/>
      <c r="R827" s="92"/>
      <c r="S827" s="92"/>
      <c r="T827" s="92"/>
      <c r="U827" s="92"/>
      <c r="V827" s="92"/>
      <c r="W827" s="92"/>
      <c r="X827" s="92"/>
      <c r="Y827" s="92"/>
      <c r="Z827" s="92"/>
    </row>
    <row r="828" spans="1:26" hidden="1">
      <c r="A828" s="92"/>
      <c r="B828" s="92"/>
      <c r="C828" s="92"/>
      <c r="D828" s="92"/>
      <c r="E828" s="92"/>
      <c r="F828" s="92"/>
      <c r="G828" s="92"/>
      <c r="H828" s="92"/>
      <c r="I828" s="92"/>
      <c r="J828" s="92"/>
      <c r="K828" s="92"/>
      <c r="L828" s="92"/>
      <c r="M828" s="92"/>
      <c r="N828" s="92"/>
      <c r="O828" s="92"/>
      <c r="P828" s="92"/>
      <c r="Q828" s="92"/>
      <c r="R828" s="92"/>
      <c r="S828" s="92"/>
      <c r="T828" s="92"/>
      <c r="U828" s="92"/>
      <c r="V828" s="92"/>
      <c r="W828" s="92"/>
      <c r="X828" s="92"/>
      <c r="Y828" s="92"/>
      <c r="Z828" s="92"/>
    </row>
    <row r="829" spans="1:26" hidden="1">
      <c r="A829" s="92"/>
      <c r="B829" s="92"/>
      <c r="C829" s="92"/>
      <c r="D829" s="92"/>
      <c r="E829" s="92"/>
      <c r="F829" s="92"/>
      <c r="G829" s="92"/>
      <c r="H829" s="92"/>
      <c r="I829" s="92"/>
      <c r="J829" s="92"/>
      <c r="K829" s="92"/>
      <c r="L829" s="92"/>
      <c r="M829" s="92"/>
      <c r="N829" s="92"/>
      <c r="O829" s="92"/>
      <c r="P829" s="92"/>
      <c r="Q829" s="92"/>
      <c r="R829" s="92"/>
      <c r="S829" s="92"/>
      <c r="T829" s="92"/>
      <c r="U829" s="92"/>
      <c r="V829" s="92"/>
      <c r="W829" s="92"/>
      <c r="X829" s="92"/>
      <c r="Y829" s="92"/>
      <c r="Z829" s="92"/>
    </row>
    <row r="830" spans="1:26" hidden="1">
      <c r="A830" s="92"/>
      <c r="B830" s="92"/>
      <c r="C830" s="92"/>
      <c r="D830" s="92"/>
      <c r="E830" s="92"/>
      <c r="F830" s="92"/>
      <c r="G830" s="92"/>
      <c r="H830" s="92"/>
      <c r="I830" s="92"/>
      <c r="J830" s="92"/>
      <c r="K830" s="92"/>
      <c r="L830" s="92"/>
      <c r="M830" s="92"/>
      <c r="N830" s="92"/>
      <c r="O830" s="92"/>
      <c r="P830" s="92"/>
      <c r="Q830" s="92"/>
      <c r="R830" s="92"/>
      <c r="S830" s="92"/>
      <c r="T830" s="92"/>
      <c r="U830" s="92"/>
      <c r="V830" s="92"/>
      <c r="W830" s="92"/>
      <c r="X830" s="92"/>
      <c r="Y830" s="92"/>
      <c r="Z830" s="92"/>
    </row>
    <row r="831" spans="1:26" hidden="1">
      <c r="A831" s="92"/>
      <c r="B831" s="92"/>
      <c r="C831" s="92"/>
      <c r="D831" s="92"/>
      <c r="E831" s="92"/>
      <c r="F831" s="92"/>
      <c r="G831" s="92"/>
      <c r="H831" s="92"/>
      <c r="I831" s="92"/>
      <c r="J831" s="92"/>
      <c r="K831" s="92"/>
      <c r="L831" s="92"/>
      <c r="M831" s="92"/>
      <c r="N831" s="92"/>
      <c r="O831" s="92"/>
      <c r="P831" s="92"/>
      <c r="Q831" s="92"/>
      <c r="R831" s="92"/>
      <c r="S831" s="92"/>
      <c r="T831" s="92"/>
      <c r="U831" s="92"/>
      <c r="V831" s="92"/>
      <c r="W831" s="92"/>
      <c r="X831" s="92"/>
      <c r="Y831" s="92"/>
      <c r="Z831" s="92"/>
    </row>
    <row r="832" spans="1:26" hidden="1">
      <c r="A832" s="92"/>
      <c r="B832" s="92"/>
      <c r="C832" s="92"/>
      <c r="D832" s="92"/>
      <c r="E832" s="92"/>
      <c r="F832" s="92"/>
      <c r="G832" s="92"/>
      <c r="H832" s="92"/>
      <c r="I832" s="92"/>
      <c r="J832" s="92"/>
      <c r="K832" s="92"/>
      <c r="L832" s="92"/>
      <c r="M832" s="92"/>
      <c r="N832" s="92"/>
      <c r="O832" s="92"/>
      <c r="P832" s="92"/>
      <c r="Q832" s="92"/>
      <c r="R832" s="92"/>
      <c r="S832" s="92"/>
      <c r="T832" s="92"/>
      <c r="U832" s="92"/>
      <c r="V832" s="92"/>
      <c r="W832" s="92"/>
      <c r="X832" s="92"/>
      <c r="Y832" s="92"/>
      <c r="Z832" s="92"/>
    </row>
    <row r="833" spans="1:26" hidden="1">
      <c r="A833" s="92"/>
      <c r="B833" s="92"/>
      <c r="C833" s="92"/>
      <c r="D833" s="92"/>
      <c r="E833" s="92"/>
      <c r="F833" s="92"/>
      <c r="G833" s="92"/>
      <c r="H833" s="92"/>
      <c r="I833" s="92"/>
      <c r="J833" s="92"/>
      <c r="K833" s="92"/>
      <c r="L833" s="92"/>
      <c r="M833" s="92"/>
      <c r="N833" s="92"/>
      <c r="O833" s="92"/>
      <c r="P833" s="92"/>
      <c r="Q833" s="92"/>
      <c r="R833" s="92"/>
      <c r="S833" s="92"/>
      <c r="T833" s="92"/>
      <c r="U833" s="92"/>
      <c r="V833" s="92"/>
      <c r="W833" s="92"/>
      <c r="X833" s="92"/>
      <c r="Y833" s="92"/>
      <c r="Z833" s="92"/>
    </row>
    <row r="834" spans="1:26" hidden="1">
      <c r="A834" s="92"/>
      <c r="B834" s="92"/>
      <c r="C834" s="92"/>
      <c r="D834" s="92"/>
      <c r="E834" s="92"/>
      <c r="F834" s="92"/>
      <c r="G834" s="92"/>
      <c r="H834" s="92"/>
      <c r="I834" s="92"/>
      <c r="J834" s="92"/>
      <c r="K834" s="92"/>
      <c r="L834" s="92"/>
      <c r="M834" s="92"/>
      <c r="N834" s="92"/>
      <c r="O834" s="92"/>
      <c r="P834" s="92"/>
      <c r="Q834" s="92"/>
      <c r="R834" s="92"/>
      <c r="S834" s="92"/>
      <c r="T834" s="92"/>
      <c r="U834" s="92"/>
      <c r="V834" s="92"/>
      <c r="W834" s="92"/>
      <c r="X834" s="92"/>
      <c r="Y834" s="92"/>
      <c r="Z834" s="92"/>
    </row>
    <row r="835" spans="1:26" hidden="1">
      <c r="A835" s="92"/>
      <c r="B835" s="92"/>
      <c r="C835" s="92"/>
      <c r="D835" s="92"/>
      <c r="E835" s="92"/>
      <c r="F835" s="92"/>
      <c r="G835" s="92"/>
      <c r="H835" s="92"/>
      <c r="I835" s="92"/>
      <c r="J835" s="92"/>
      <c r="K835" s="92"/>
      <c r="L835" s="92"/>
      <c r="M835" s="92"/>
      <c r="N835" s="92"/>
      <c r="O835" s="92"/>
      <c r="P835" s="92"/>
      <c r="Q835" s="92"/>
      <c r="R835" s="92"/>
      <c r="S835" s="92"/>
      <c r="T835" s="92"/>
      <c r="U835" s="92"/>
      <c r="V835" s="92"/>
      <c r="W835" s="92"/>
      <c r="X835" s="92"/>
      <c r="Y835" s="92"/>
      <c r="Z835" s="92"/>
    </row>
    <row r="836" spans="1:26" hidden="1">
      <c r="A836" s="92"/>
      <c r="B836" s="92"/>
      <c r="C836" s="92"/>
      <c r="D836" s="92"/>
      <c r="E836" s="92"/>
      <c r="F836" s="92"/>
      <c r="G836" s="92"/>
      <c r="H836" s="92"/>
      <c r="I836" s="92"/>
      <c r="J836" s="92"/>
      <c r="K836" s="92"/>
      <c r="L836" s="92"/>
      <c r="M836" s="92"/>
      <c r="N836" s="92"/>
      <c r="O836" s="92"/>
      <c r="P836" s="92"/>
      <c r="Q836" s="92"/>
      <c r="R836" s="92"/>
      <c r="S836" s="92"/>
      <c r="T836" s="92"/>
      <c r="U836" s="92"/>
      <c r="V836" s="92"/>
      <c r="W836" s="92"/>
      <c r="X836" s="92"/>
      <c r="Y836" s="92"/>
      <c r="Z836" s="92"/>
    </row>
    <row r="837" spans="1:26" hidden="1">
      <c r="A837" s="92"/>
      <c r="B837" s="92"/>
      <c r="C837" s="92"/>
      <c r="D837" s="92"/>
      <c r="E837" s="92"/>
      <c r="F837" s="92"/>
      <c r="G837" s="92"/>
      <c r="H837" s="92"/>
      <c r="I837" s="92"/>
      <c r="J837" s="92"/>
      <c r="K837" s="92"/>
      <c r="L837" s="92"/>
      <c r="M837" s="92"/>
      <c r="N837" s="92"/>
      <c r="O837" s="92"/>
      <c r="P837" s="92"/>
      <c r="Q837" s="92"/>
      <c r="R837" s="92"/>
      <c r="S837" s="92"/>
      <c r="T837" s="92"/>
      <c r="U837" s="92"/>
      <c r="V837" s="92"/>
      <c r="W837" s="92"/>
      <c r="X837" s="92"/>
      <c r="Y837" s="92"/>
      <c r="Z837" s="92"/>
    </row>
    <row r="838" spans="1:26" hidden="1">
      <c r="A838" s="92"/>
      <c r="B838" s="92"/>
      <c r="C838" s="92"/>
      <c r="D838" s="92"/>
      <c r="E838" s="92"/>
      <c r="F838" s="92"/>
      <c r="G838" s="92"/>
      <c r="H838" s="92"/>
      <c r="I838" s="92"/>
      <c r="J838" s="92"/>
      <c r="K838" s="92"/>
      <c r="L838" s="92"/>
      <c r="M838" s="92"/>
      <c r="N838" s="92"/>
      <c r="O838" s="92"/>
      <c r="P838" s="92"/>
      <c r="Q838" s="92"/>
      <c r="R838" s="92"/>
      <c r="S838" s="92"/>
      <c r="T838" s="92"/>
      <c r="U838" s="92"/>
      <c r="V838" s="92"/>
      <c r="W838" s="92"/>
      <c r="X838" s="92"/>
      <c r="Y838" s="92"/>
      <c r="Z838" s="92"/>
    </row>
    <row r="839" spans="1:26" hidden="1">
      <c r="A839" s="92"/>
      <c r="B839" s="92"/>
      <c r="C839" s="92"/>
      <c r="D839" s="92"/>
      <c r="E839" s="92"/>
      <c r="F839" s="92"/>
      <c r="G839" s="92"/>
      <c r="H839" s="92"/>
      <c r="I839" s="92"/>
      <c r="J839" s="92"/>
      <c r="K839" s="92"/>
      <c r="L839" s="92"/>
      <c r="M839" s="92"/>
      <c r="N839" s="92"/>
      <c r="O839" s="92"/>
      <c r="P839" s="92"/>
      <c r="Q839" s="92"/>
      <c r="R839" s="92"/>
      <c r="S839" s="92"/>
      <c r="T839" s="92"/>
      <c r="U839" s="92"/>
      <c r="V839" s="92"/>
      <c r="W839" s="92"/>
      <c r="X839" s="92"/>
      <c r="Y839" s="92"/>
      <c r="Z839" s="92"/>
    </row>
    <row r="840" spans="1:26" hidden="1">
      <c r="A840" s="92"/>
      <c r="B840" s="92"/>
      <c r="C840" s="92"/>
      <c r="D840" s="92"/>
      <c r="E840" s="92"/>
      <c r="F840" s="92"/>
      <c r="G840" s="92"/>
      <c r="H840" s="92"/>
      <c r="I840" s="92"/>
      <c r="J840" s="92"/>
      <c r="K840" s="92"/>
      <c r="L840" s="92"/>
      <c r="M840" s="92"/>
      <c r="N840" s="92"/>
      <c r="O840" s="92"/>
      <c r="P840" s="92"/>
      <c r="Q840" s="92"/>
      <c r="R840" s="92"/>
      <c r="S840" s="92"/>
      <c r="T840" s="92"/>
      <c r="U840" s="92"/>
      <c r="V840" s="92"/>
      <c r="W840" s="92"/>
      <c r="X840" s="92"/>
      <c r="Y840" s="92"/>
      <c r="Z840" s="92"/>
    </row>
    <row r="841" spans="1:26" hidden="1">
      <c r="A841" s="92"/>
      <c r="B841" s="92"/>
      <c r="C841" s="92"/>
      <c r="D841" s="92"/>
      <c r="E841" s="92"/>
      <c r="F841" s="92"/>
      <c r="G841" s="92"/>
      <c r="H841" s="92"/>
      <c r="I841" s="92"/>
      <c r="J841" s="92"/>
      <c r="K841" s="92"/>
      <c r="L841" s="92"/>
      <c r="M841" s="92"/>
      <c r="N841" s="92"/>
      <c r="O841" s="92"/>
      <c r="P841" s="92"/>
      <c r="Q841" s="92"/>
      <c r="R841" s="92"/>
      <c r="S841" s="92"/>
      <c r="T841" s="92"/>
      <c r="U841" s="92"/>
      <c r="V841" s="92"/>
      <c r="W841" s="92"/>
      <c r="X841" s="92"/>
      <c r="Y841" s="92"/>
      <c r="Z841" s="92"/>
    </row>
    <row r="842" spans="1:26" hidden="1">
      <c r="A842" s="92"/>
      <c r="B842" s="92"/>
      <c r="C842" s="92"/>
      <c r="D842" s="92"/>
      <c r="E842" s="92"/>
      <c r="F842" s="92"/>
      <c r="G842" s="92"/>
      <c r="H842" s="92"/>
      <c r="I842" s="92"/>
      <c r="J842" s="92"/>
      <c r="K842" s="92"/>
      <c r="L842" s="92"/>
      <c r="M842" s="92"/>
      <c r="N842" s="92"/>
      <c r="O842" s="92"/>
      <c r="P842" s="92"/>
      <c r="Q842" s="92"/>
      <c r="R842" s="92"/>
      <c r="S842" s="92"/>
      <c r="T842" s="92"/>
      <c r="U842" s="92"/>
      <c r="V842" s="92"/>
      <c r="W842" s="92"/>
      <c r="X842" s="92"/>
      <c r="Y842" s="92"/>
      <c r="Z842" s="92"/>
    </row>
    <row r="843" spans="1:26" hidden="1">
      <c r="A843" s="92"/>
      <c r="B843" s="92"/>
      <c r="C843" s="92"/>
      <c r="D843" s="92"/>
      <c r="E843" s="92"/>
      <c r="F843" s="92"/>
      <c r="G843" s="92"/>
      <c r="H843" s="92"/>
      <c r="I843" s="92"/>
      <c r="J843" s="92"/>
      <c r="K843" s="92"/>
      <c r="L843" s="92"/>
      <c r="M843" s="92"/>
      <c r="N843" s="92"/>
      <c r="O843" s="92"/>
      <c r="P843" s="92"/>
      <c r="Q843" s="92"/>
      <c r="R843" s="92"/>
      <c r="S843" s="92"/>
      <c r="T843" s="92"/>
      <c r="U843" s="92"/>
      <c r="V843" s="92"/>
      <c r="W843" s="92"/>
      <c r="X843" s="92"/>
      <c r="Y843" s="92"/>
      <c r="Z843" s="92"/>
    </row>
    <row r="844" spans="1:26" hidden="1">
      <c r="A844" s="92"/>
      <c r="B844" s="92"/>
      <c r="C844" s="92"/>
      <c r="D844" s="92"/>
      <c r="E844" s="92"/>
      <c r="F844" s="92"/>
      <c r="G844" s="92"/>
      <c r="H844" s="92"/>
      <c r="I844" s="92"/>
      <c r="J844" s="92"/>
      <c r="K844" s="92"/>
      <c r="L844" s="92"/>
      <c r="M844" s="92"/>
      <c r="N844" s="92"/>
      <c r="O844" s="92"/>
      <c r="P844" s="92"/>
      <c r="Q844" s="92"/>
      <c r="R844" s="92"/>
      <c r="S844" s="92"/>
      <c r="T844" s="92"/>
      <c r="U844" s="92"/>
      <c r="V844" s="92"/>
      <c r="W844" s="92"/>
      <c r="X844" s="92"/>
      <c r="Y844" s="92"/>
      <c r="Z844" s="92"/>
    </row>
    <row r="845" spans="1:26" hidden="1">
      <c r="A845" s="92"/>
      <c r="B845" s="92"/>
      <c r="C845" s="92"/>
      <c r="D845" s="92"/>
      <c r="E845" s="92"/>
      <c r="F845" s="92"/>
      <c r="G845" s="92"/>
      <c r="H845" s="92"/>
      <c r="I845" s="92"/>
      <c r="J845" s="92"/>
      <c r="K845" s="92"/>
      <c r="L845" s="92"/>
      <c r="M845" s="92"/>
      <c r="N845" s="92"/>
      <c r="O845" s="92"/>
      <c r="P845" s="92"/>
      <c r="Q845" s="92"/>
      <c r="R845" s="92"/>
      <c r="S845" s="92"/>
      <c r="T845" s="92"/>
      <c r="U845" s="92"/>
      <c r="V845" s="92"/>
      <c r="W845" s="92"/>
      <c r="X845" s="92"/>
      <c r="Y845" s="92"/>
      <c r="Z845" s="92"/>
    </row>
    <row r="846" spans="1:26" hidden="1">
      <c r="A846" s="92"/>
      <c r="B846" s="92"/>
      <c r="C846" s="92"/>
      <c r="D846" s="92"/>
      <c r="E846" s="92"/>
      <c r="F846" s="92"/>
      <c r="G846" s="92"/>
      <c r="H846" s="92"/>
      <c r="I846" s="92"/>
      <c r="J846" s="92"/>
      <c r="K846" s="92"/>
      <c r="L846" s="92"/>
      <c r="M846" s="92"/>
      <c r="N846" s="92"/>
      <c r="O846" s="92"/>
      <c r="P846" s="92"/>
      <c r="Q846" s="92"/>
      <c r="R846" s="92"/>
      <c r="S846" s="92"/>
      <c r="T846" s="92"/>
      <c r="U846" s="92"/>
      <c r="V846" s="92"/>
      <c r="W846" s="92"/>
      <c r="X846" s="92"/>
      <c r="Y846" s="92"/>
      <c r="Z846" s="92"/>
    </row>
    <row r="847" spans="1:26" hidden="1">
      <c r="A847" s="92"/>
      <c r="B847" s="92"/>
      <c r="C847" s="92"/>
      <c r="D847" s="92"/>
      <c r="E847" s="92"/>
      <c r="F847" s="92"/>
      <c r="G847" s="92"/>
      <c r="H847" s="92"/>
      <c r="I847" s="92"/>
      <c r="J847" s="92"/>
      <c r="K847" s="92"/>
      <c r="L847" s="92"/>
      <c r="M847" s="92"/>
      <c r="N847" s="92"/>
      <c r="O847" s="92"/>
      <c r="P847" s="92"/>
      <c r="Q847" s="92"/>
      <c r="R847" s="92"/>
      <c r="S847" s="92"/>
      <c r="T847" s="92"/>
      <c r="U847" s="92"/>
      <c r="V847" s="92"/>
      <c r="W847" s="92"/>
      <c r="X847" s="92"/>
      <c r="Y847" s="92"/>
      <c r="Z847" s="92"/>
    </row>
    <row r="848" spans="1:26" hidden="1">
      <c r="A848" s="92"/>
      <c r="B848" s="92"/>
      <c r="C848" s="92"/>
      <c r="D848" s="92"/>
      <c r="E848" s="92"/>
      <c r="F848" s="92"/>
      <c r="G848" s="92"/>
      <c r="H848" s="92"/>
      <c r="I848" s="92"/>
      <c r="J848" s="92"/>
      <c r="K848" s="92"/>
      <c r="L848" s="92"/>
      <c r="M848" s="92"/>
      <c r="N848" s="92"/>
      <c r="O848" s="92"/>
      <c r="P848" s="92"/>
      <c r="Q848" s="92"/>
      <c r="R848" s="92"/>
      <c r="S848" s="92"/>
      <c r="T848" s="92"/>
      <c r="U848" s="92"/>
      <c r="V848" s="92"/>
      <c r="W848" s="92"/>
      <c r="X848" s="92"/>
      <c r="Y848" s="92"/>
      <c r="Z848" s="92"/>
    </row>
    <row r="849" spans="1:26" hidden="1">
      <c r="A849" s="92"/>
      <c r="B849" s="92"/>
      <c r="C849" s="92"/>
      <c r="D849" s="92"/>
      <c r="E849" s="92"/>
      <c r="F849" s="92"/>
      <c r="G849" s="92"/>
      <c r="H849" s="92"/>
      <c r="I849" s="92"/>
      <c r="J849" s="92"/>
      <c r="K849" s="92"/>
      <c r="L849" s="92"/>
      <c r="M849" s="92"/>
      <c r="N849" s="92"/>
      <c r="O849" s="92"/>
      <c r="P849" s="92"/>
      <c r="Q849" s="92"/>
      <c r="R849" s="92"/>
      <c r="S849" s="92"/>
      <c r="T849" s="92"/>
      <c r="U849" s="92"/>
      <c r="V849" s="92"/>
      <c r="W849" s="92"/>
      <c r="X849" s="92"/>
      <c r="Y849" s="92"/>
      <c r="Z849" s="92"/>
    </row>
    <row r="850" spans="1:26" hidden="1">
      <c r="A850" s="92"/>
      <c r="B850" s="92"/>
      <c r="C850" s="92"/>
      <c r="D850" s="92"/>
      <c r="E850" s="92"/>
      <c r="F850" s="92"/>
      <c r="G850" s="92"/>
      <c r="H850" s="92"/>
      <c r="I850" s="92"/>
      <c r="J850" s="92"/>
      <c r="K850" s="92"/>
      <c r="L850" s="92"/>
      <c r="M850" s="92"/>
      <c r="N850" s="92"/>
      <c r="O850" s="92"/>
      <c r="P850" s="92"/>
      <c r="Q850" s="92"/>
      <c r="R850" s="92"/>
      <c r="S850" s="92"/>
      <c r="T850" s="92"/>
      <c r="U850" s="92"/>
      <c r="V850" s="92"/>
      <c r="W850" s="92"/>
      <c r="X850" s="92"/>
      <c r="Y850" s="92"/>
      <c r="Z850" s="92"/>
    </row>
    <row r="851" spans="1:26" hidden="1">
      <c r="A851" s="92"/>
      <c r="B851" s="92"/>
      <c r="C851" s="92"/>
      <c r="D851" s="92"/>
      <c r="E851" s="92"/>
      <c r="F851" s="92"/>
      <c r="G851" s="92"/>
      <c r="H851" s="92"/>
      <c r="I851" s="92"/>
      <c r="J851" s="92"/>
      <c r="K851" s="92"/>
      <c r="L851" s="92"/>
      <c r="M851" s="92"/>
      <c r="N851" s="92"/>
      <c r="O851" s="92"/>
      <c r="P851" s="92"/>
      <c r="Q851" s="92"/>
      <c r="R851" s="92"/>
      <c r="S851" s="92"/>
      <c r="T851" s="92"/>
      <c r="U851" s="92"/>
      <c r="V851" s="92"/>
      <c r="W851" s="92"/>
      <c r="X851" s="92"/>
      <c r="Y851" s="92"/>
      <c r="Z851" s="92"/>
    </row>
    <row r="852" spans="1:26" hidden="1">
      <c r="A852" s="92"/>
      <c r="B852" s="92"/>
      <c r="C852" s="92"/>
      <c r="D852" s="92"/>
      <c r="E852" s="92"/>
      <c r="F852" s="92"/>
      <c r="G852" s="92"/>
      <c r="H852" s="92"/>
      <c r="I852" s="92"/>
      <c r="J852" s="92"/>
      <c r="K852" s="92"/>
      <c r="L852" s="92"/>
      <c r="M852" s="92"/>
      <c r="N852" s="92"/>
      <c r="O852" s="92"/>
      <c r="P852" s="92"/>
      <c r="Q852" s="92"/>
      <c r="R852" s="92"/>
      <c r="S852" s="92"/>
      <c r="T852" s="92"/>
      <c r="U852" s="92"/>
      <c r="V852" s="92"/>
      <c r="W852" s="92"/>
      <c r="X852" s="92"/>
      <c r="Y852" s="92"/>
      <c r="Z852" s="92"/>
    </row>
    <row r="853" spans="1:26" hidden="1">
      <c r="A853" s="92"/>
      <c r="B853" s="92"/>
      <c r="C853" s="92"/>
      <c r="D853" s="92"/>
      <c r="E853" s="92"/>
      <c r="F853" s="92"/>
      <c r="G853" s="92"/>
      <c r="H853" s="92"/>
      <c r="I853" s="92"/>
      <c r="J853" s="92"/>
      <c r="K853" s="92"/>
      <c r="L853" s="92"/>
      <c r="M853" s="92"/>
      <c r="N853" s="92"/>
      <c r="O853" s="92"/>
      <c r="P853" s="92"/>
      <c r="Q853" s="92"/>
      <c r="R853" s="92"/>
      <c r="S853" s="92"/>
      <c r="T853" s="92"/>
      <c r="U853" s="92"/>
      <c r="V853" s="92"/>
      <c r="W853" s="92"/>
      <c r="X853" s="92"/>
      <c r="Y853" s="92"/>
      <c r="Z853" s="92"/>
    </row>
    <row r="854" spans="1:26" hidden="1">
      <c r="A854" s="92"/>
      <c r="B854" s="92"/>
      <c r="C854" s="92"/>
      <c r="D854" s="92"/>
      <c r="E854" s="92"/>
      <c r="F854" s="92"/>
      <c r="G854" s="92"/>
      <c r="H854" s="92"/>
      <c r="I854" s="92"/>
      <c r="J854" s="92"/>
      <c r="K854" s="92"/>
      <c r="L854" s="92"/>
      <c r="M854" s="92"/>
      <c r="N854" s="92"/>
      <c r="O854" s="92"/>
      <c r="P854" s="92"/>
      <c r="Q854" s="92"/>
      <c r="R854" s="92"/>
      <c r="S854" s="92"/>
      <c r="T854" s="92"/>
      <c r="U854" s="92"/>
      <c r="V854" s="92"/>
      <c r="W854" s="92"/>
      <c r="X854" s="92"/>
      <c r="Y854" s="92"/>
      <c r="Z854" s="92"/>
    </row>
    <row r="855" spans="1:26" hidden="1">
      <c r="A855" s="92"/>
      <c r="B855" s="92"/>
      <c r="C855" s="92"/>
      <c r="D855" s="92"/>
      <c r="E855" s="92"/>
      <c r="F855" s="92"/>
      <c r="G855" s="92"/>
      <c r="H855" s="92"/>
      <c r="I855" s="92"/>
      <c r="J855" s="92"/>
      <c r="K855" s="92"/>
      <c r="L855" s="92"/>
      <c r="M855" s="92"/>
      <c r="N855" s="92"/>
      <c r="O855" s="92"/>
      <c r="P855" s="92"/>
      <c r="Q855" s="92"/>
      <c r="R855" s="92"/>
      <c r="S855" s="92"/>
      <c r="T855" s="92"/>
      <c r="U855" s="92"/>
      <c r="V855" s="92"/>
      <c r="W855" s="92"/>
      <c r="X855" s="92"/>
      <c r="Y855" s="92"/>
      <c r="Z855" s="92"/>
    </row>
    <row r="856" spans="1:26" hidden="1">
      <c r="A856" s="92"/>
      <c r="B856" s="92"/>
      <c r="C856" s="92"/>
      <c r="D856" s="92"/>
      <c r="E856" s="92"/>
      <c r="F856" s="92"/>
      <c r="G856" s="92"/>
      <c r="H856" s="92"/>
      <c r="I856" s="92"/>
      <c r="J856" s="92"/>
      <c r="K856" s="92"/>
      <c r="L856" s="92"/>
      <c r="M856" s="92"/>
      <c r="N856" s="92"/>
      <c r="O856" s="92"/>
      <c r="P856" s="92"/>
      <c r="Q856" s="92"/>
      <c r="R856" s="92"/>
      <c r="S856" s="92"/>
      <c r="T856" s="92"/>
      <c r="U856" s="92"/>
      <c r="V856" s="92"/>
      <c r="W856" s="92"/>
      <c r="X856" s="92"/>
      <c r="Y856" s="92"/>
      <c r="Z856" s="92"/>
    </row>
    <row r="857" spans="1:26" hidden="1">
      <c r="A857" s="92"/>
      <c r="B857" s="92"/>
      <c r="C857" s="92"/>
      <c r="D857" s="92"/>
      <c r="E857" s="92"/>
      <c r="F857" s="92"/>
      <c r="G857" s="92"/>
      <c r="H857" s="92"/>
      <c r="I857" s="92"/>
      <c r="J857" s="92"/>
      <c r="K857" s="92"/>
      <c r="L857" s="92"/>
      <c r="M857" s="92"/>
      <c r="N857" s="92"/>
      <c r="O857" s="92"/>
      <c r="P857" s="92"/>
      <c r="Q857" s="92"/>
      <c r="R857" s="92"/>
      <c r="S857" s="92"/>
      <c r="T857" s="92"/>
      <c r="U857" s="92"/>
      <c r="V857" s="92"/>
      <c r="W857" s="92"/>
      <c r="X857" s="92"/>
      <c r="Y857" s="92"/>
      <c r="Z857" s="92"/>
    </row>
    <row r="858" spans="1:26" hidden="1">
      <c r="A858" s="92"/>
      <c r="B858" s="92"/>
      <c r="C858" s="92"/>
      <c r="D858" s="92"/>
      <c r="E858" s="92"/>
      <c r="F858" s="92"/>
      <c r="G858" s="92"/>
      <c r="H858" s="92"/>
      <c r="I858" s="92"/>
      <c r="J858" s="92"/>
      <c r="K858" s="92"/>
      <c r="L858" s="92"/>
      <c r="M858" s="92"/>
      <c r="N858" s="92"/>
      <c r="O858" s="92"/>
      <c r="P858" s="92"/>
      <c r="Q858" s="92"/>
      <c r="R858" s="92"/>
      <c r="S858" s="92"/>
      <c r="T858" s="92"/>
      <c r="U858" s="92"/>
      <c r="V858" s="92"/>
      <c r="W858" s="92"/>
      <c r="X858" s="92"/>
      <c r="Y858" s="92"/>
      <c r="Z858" s="92"/>
    </row>
    <row r="859" spans="1:26" hidden="1">
      <c r="A859" s="92"/>
      <c r="B859" s="92"/>
      <c r="C859" s="92"/>
      <c r="D859" s="92"/>
      <c r="E859" s="92"/>
      <c r="F859" s="92"/>
      <c r="G859" s="92"/>
      <c r="H859" s="92"/>
      <c r="I859" s="92"/>
      <c r="J859" s="92"/>
      <c r="K859" s="92"/>
      <c r="L859" s="92"/>
      <c r="M859" s="92"/>
      <c r="N859" s="92"/>
      <c r="O859" s="92"/>
      <c r="P859" s="92"/>
      <c r="Q859" s="92"/>
      <c r="R859" s="92"/>
      <c r="S859" s="92"/>
      <c r="T859" s="92"/>
      <c r="U859" s="92"/>
      <c r="V859" s="92"/>
      <c r="W859" s="92"/>
      <c r="X859" s="92"/>
      <c r="Y859" s="92"/>
      <c r="Z859" s="92"/>
    </row>
    <row r="860" spans="1:26" hidden="1">
      <c r="A860" s="92"/>
      <c r="B860" s="92"/>
      <c r="C860" s="92"/>
      <c r="D860" s="92"/>
      <c r="E860" s="92"/>
      <c r="F860" s="92"/>
      <c r="G860" s="92"/>
      <c r="H860" s="92"/>
      <c r="I860" s="92"/>
      <c r="J860" s="92"/>
      <c r="K860" s="92"/>
      <c r="L860" s="92"/>
      <c r="M860" s="92"/>
      <c r="N860" s="92"/>
      <c r="O860" s="92"/>
      <c r="P860" s="92"/>
      <c r="Q860" s="92"/>
      <c r="R860" s="92"/>
      <c r="S860" s="92"/>
      <c r="T860" s="92"/>
      <c r="U860" s="92"/>
      <c r="V860" s="92"/>
      <c r="W860" s="92"/>
      <c r="X860" s="92"/>
      <c r="Y860" s="92"/>
      <c r="Z860" s="92"/>
    </row>
    <row r="861" spans="1:26" hidden="1">
      <c r="A861" s="92"/>
      <c r="B861" s="92"/>
      <c r="C861" s="92"/>
      <c r="D861" s="92"/>
      <c r="E861" s="92"/>
      <c r="F861" s="92"/>
      <c r="G861" s="92"/>
      <c r="H861" s="92"/>
      <c r="I861" s="92"/>
      <c r="J861" s="92"/>
      <c r="K861" s="92"/>
      <c r="L861" s="92"/>
      <c r="M861" s="92"/>
      <c r="N861" s="92"/>
      <c r="O861" s="92"/>
      <c r="P861" s="92"/>
      <c r="Q861" s="92"/>
      <c r="R861" s="92"/>
      <c r="S861" s="92"/>
      <c r="T861" s="92"/>
      <c r="U861" s="92"/>
      <c r="V861" s="92"/>
      <c r="W861" s="92"/>
      <c r="X861" s="92"/>
      <c r="Y861" s="92"/>
      <c r="Z861" s="92"/>
    </row>
    <row r="862" spans="1:26" hidden="1">
      <c r="A862" s="92"/>
      <c r="B862" s="92"/>
      <c r="C862" s="92"/>
      <c r="D862" s="92"/>
      <c r="E862" s="92"/>
      <c r="F862" s="92"/>
      <c r="G862" s="92"/>
      <c r="H862" s="92"/>
      <c r="I862" s="92"/>
      <c r="J862" s="92"/>
      <c r="K862" s="92"/>
      <c r="L862" s="92"/>
      <c r="M862" s="92"/>
      <c r="N862" s="92"/>
      <c r="O862" s="92"/>
      <c r="P862" s="92"/>
      <c r="Q862" s="92"/>
      <c r="R862" s="92"/>
      <c r="S862" s="92"/>
      <c r="T862" s="92"/>
      <c r="U862" s="92"/>
      <c r="V862" s="92"/>
      <c r="W862" s="92"/>
      <c r="X862" s="92"/>
      <c r="Y862" s="92"/>
      <c r="Z862" s="92"/>
    </row>
    <row r="863" spans="1:26" hidden="1">
      <c r="A863" s="92"/>
      <c r="B863" s="92"/>
      <c r="C863" s="92"/>
      <c r="D863" s="92"/>
      <c r="E863" s="92"/>
      <c r="F863" s="92"/>
      <c r="G863" s="92"/>
      <c r="H863" s="92"/>
      <c r="I863" s="92"/>
      <c r="J863" s="92"/>
      <c r="K863" s="92"/>
      <c r="L863" s="92"/>
      <c r="M863" s="92"/>
      <c r="N863" s="92"/>
      <c r="O863" s="92"/>
      <c r="P863" s="92"/>
      <c r="Q863" s="92"/>
      <c r="R863" s="92"/>
      <c r="S863" s="92"/>
      <c r="T863" s="92"/>
      <c r="U863" s="92"/>
      <c r="V863" s="92"/>
      <c r="W863" s="92"/>
      <c r="X863" s="92"/>
      <c r="Y863" s="92"/>
      <c r="Z863" s="92"/>
    </row>
    <row r="864" spans="1:26" hidden="1">
      <c r="A864" s="92"/>
      <c r="B864" s="92"/>
      <c r="C864" s="92"/>
      <c r="D864" s="92"/>
      <c r="E864" s="92"/>
      <c r="F864" s="92"/>
      <c r="G864" s="92"/>
      <c r="H864" s="92"/>
      <c r="I864" s="92"/>
      <c r="J864" s="92"/>
      <c r="K864" s="92"/>
      <c r="L864" s="92"/>
      <c r="M864" s="92"/>
      <c r="N864" s="92"/>
      <c r="O864" s="92"/>
      <c r="P864" s="92"/>
      <c r="Q864" s="92"/>
      <c r="R864" s="92"/>
      <c r="S864" s="92"/>
      <c r="T864" s="92"/>
      <c r="U864" s="92"/>
      <c r="V864" s="92"/>
      <c r="W864" s="92"/>
      <c r="X864" s="92"/>
      <c r="Y864" s="92"/>
      <c r="Z864" s="92"/>
    </row>
    <row r="865" spans="1:26" hidden="1">
      <c r="A865" s="92"/>
      <c r="B865" s="92"/>
      <c r="C865" s="92"/>
      <c r="D865" s="92"/>
      <c r="E865" s="92"/>
      <c r="F865" s="92"/>
      <c r="G865" s="92"/>
      <c r="H865" s="92"/>
      <c r="I865" s="92"/>
      <c r="J865" s="92"/>
      <c r="K865" s="92"/>
      <c r="L865" s="92"/>
      <c r="M865" s="92"/>
      <c r="N865" s="92"/>
      <c r="O865" s="92"/>
      <c r="P865" s="92"/>
      <c r="Q865" s="92"/>
      <c r="R865" s="92"/>
      <c r="S865" s="92"/>
      <c r="T865" s="92"/>
      <c r="U865" s="92"/>
      <c r="V865" s="92"/>
      <c r="W865" s="92"/>
      <c r="X865" s="92"/>
      <c r="Y865" s="92"/>
      <c r="Z865" s="92"/>
    </row>
    <row r="866" spans="1:26" hidden="1">
      <c r="A866" s="92"/>
      <c r="B866" s="92"/>
      <c r="C866" s="92"/>
      <c r="D866" s="92"/>
      <c r="E866" s="92"/>
      <c r="F866" s="92"/>
      <c r="G866" s="92"/>
      <c r="H866" s="92"/>
      <c r="I866" s="92"/>
      <c r="J866" s="92"/>
      <c r="K866" s="92"/>
      <c r="L866" s="92"/>
      <c r="M866" s="92"/>
      <c r="N866" s="92"/>
      <c r="O866" s="92"/>
      <c r="P866" s="92"/>
      <c r="Q866" s="92"/>
      <c r="R866" s="92"/>
      <c r="S866" s="92"/>
      <c r="T866" s="92"/>
      <c r="U866" s="92"/>
      <c r="V866" s="92"/>
      <c r="W866" s="92"/>
      <c r="X866" s="92"/>
      <c r="Y866" s="92"/>
      <c r="Z866" s="92"/>
    </row>
    <row r="867" spans="1:26" hidden="1">
      <c r="A867" s="92"/>
      <c r="B867" s="92"/>
      <c r="C867" s="92"/>
      <c r="D867" s="92"/>
      <c r="E867" s="92"/>
      <c r="F867" s="92"/>
      <c r="G867" s="92"/>
      <c r="H867" s="92"/>
      <c r="I867" s="92"/>
      <c r="J867" s="92"/>
      <c r="K867" s="92"/>
      <c r="L867" s="92"/>
      <c r="M867" s="92"/>
      <c r="N867" s="92"/>
      <c r="O867" s="92"/>
      <c r="P867" s="92"/>
      <c r="Q867" s="92"/>
      <c r="R867" s="92"/>
      <c r="S867" s="92"/>
      <c r="T867" s="92"/>
      <c r="U867" s="92"/>
      <c r="V867" s="92"/>
      <c r="W867" s="92"/>
      <c r="X867" s="92"/>
      <c r="Y867" s="92"/>
      <c r="Z867" s="92"/>
    </row>
    <row r="868" spans="1:26" hidden="1">
      <c r="A868" s="92"/>
      <c r="B868" s="92"/>
      <c r="C868" s="92"/>
      <c r="D868" s="92"/>
      <c r="E868" s="92"/>
      <c r="F868" s="92"/>
      <c r="G868" s="92"/>
      <c r="H868" s="92"/>
      <c r="I868" s="92"/>
      <c r="J868" s="92"/>
      <c r="K868" s="92"/>
      <c r="L868" s="92"/>
      <c r="M868" s="92"/>
      <c r="N868" s="92"/>
      <c r="O868" s="92"/>
      <c r="P868" s="92"/>
      <c r="Q868" s="92"/>
      <c r="R868" s="92"/>
      <c r="S868" s="92"/>
      <c r="T868" s="92"/>
      <c r="U868" s="92"/>
      <c r="V868" s="92"/>
      <c r="W868" s="92"/>
      <c r="X868" s="92"/>
      <c r="Y868" s="92"/>
      <c r="Z868" s="92"/>
    </row>
    <row r="869" spans="1:26" hidden="1">
      <c r="A869" s="92"/>
      <c r="B869" s="92"/>
      <c r="C869" s="92"/>
      <c r="D869" s="92"/>
      <c r="E869" s="92"/>
      <c r="F869" s="92"/>
      <c r="G869" s="92"/>
      <c r="H869" s="92"/>
      <c r="I869" s="92"/>
      <c r="J869" s="92"/>
      <c r="K869" s="92"/>
      <c r="L869" s="92"/>
      <c r="M869" s="92"/>
      <c r="N869" s="92"/>
      <c r="O869" s="92"/>
      <c r="P869" s="92"/>
      <c r="Q869" s="92"/>
      <c r="R869" s="92"/>
      <c r="S869" s="92"/>
      <c r="T869" s="92"/>
      <c r="U869" s="92"/>
      <c r="V869" s="92"/>
      <c r="W869" s="92"/>
      <c r="X869" s="92"/>
      <c r="Y869" s="92"/>
      <c r="Z869" s="92"/>
    </row>
    <row r="870" spans="1:26" hidden="1">
      <c r="A870" s="92"/>
      <c r="B870" s="92"/>
      <c r="C870" s="92"/>
      <c r="D870" s="92"/>
      <c r="E870" s="92"/>
      <c r="F870" s="92"/>
      <c r="G870" s="92"/>
      <c r="H870" s="92"/>
      <c r="I870" s="92"/>
      <c r="J870" s="92"/>
      <c r="K870" s="92"/>
      <c r="L870" s="92"/>
      <c r="M870" s="92"/>
      <c r="N870" s="92"/>
      <c r="O870" s="92"/>
      <c r="P870" s="92"/>
      <c r="Q870" s="92"/>
      <c r="R870" s="92"/>
      <c r="S870" s="92"/>
      <c r="T870" s="92"/>
      <c r="U870" s="92"/>
      <c r="V870" s="92"/>
      <c r="W870" s="92"/>
      <c r="X870" s="92"/>
      <c r="Y870" s="92"/>
      <c r="Z870" s="92"/>
    </row>
    <row r="871" spans="1:26" hidden="1">
      <c r="A871" s="92"/>
      <c r="B871" s="92"/>
      <c r="C871" s="92"/>
      <c r="D871" s="92"/>
      <c r="E871" s="92"/>
      <c r="F871" s="92"/>
      <c r="G871" s="92"/>
      <c r="H871" s="92"/>
      <c r="I871" s="92"/>
      <c r="J871" s="92"/>
      <c r="K871" s="92"/>
      <c r="L871" s="92"/>
      <c r="M871" s="92"/>
      <c r="N871" s="92"/>
      <c r="O871" s="92"/>
      <c r="P871" s="92"/>
      <c r="Q871" s="92"/>
      <c r="R871" s="92"/>
      <c r="S871" s="92"/>
      <c r="T871" s="92"/>
      <c r="U871" s="92"/>
      <c r="V871" s="92"/>
      <c r="W871" s="92"/>
      <c r="X871" s="92"/>
      <c r="Y871" s="92"/>
      <c r="Z871" s="92"/>
    </row>
    <row r="872" spans="1:26" hidden="1">
      <c r="A872" s="92"/>
      <c r="B872" s="92"/>
      <c r="C872" s="92"/>
      <c r="D872" s="92"/>
      <c r="E872" s="92"/>
      <c r="F872" s="92"/>
      <c r="G872" s="92"/>
      <c r="H872" s="92"/>
      <c r="I872" s="92"/>
      <c r="J872" s="92"/>
      <c r="K872" s="92"/>
      <c r="L872" s="92"/>
      <c r="M872" s="92"/>
      <c r="N872" s="92"/>
      <c r="O872" s="92"/>
      <c r="P872" s="92"/>
      <c r="Q872" s="92"/>
      <c r="R872" s="92"/>
      <c r="S872" s="92"/>
      <c r="T872" s="92"/>
      <c r="U872" s="92"/>
      <c r="V872" s="92"/>
      <c r="W872" s="92"/>
      <c r="X872" s="92"/>
      <c r="Y872" s="92"/>
      <c r="Z872" s="92"/>
    </row>
    <row r="873" spans="1:26" hidden="1">
      <c r="A873" s="92"/>
      <c r="B873" s="92"/>
      <c r="C873" s="92"/>
      <c r="D873" s="92"/>
      <c r="E873" s="92"/>
      <c r="F873" s="92"/>
      <c r="G873" s="92"/>
      <c r="H873" s="92"/>
      <c r="I873" s="92"/>
      <c r="J873" s="92"/>
      <c r="K873" s="92"/>
      <c r="L873" s="92"/>
      <c r="M873" s="92"/>
      <c r="N873" s="92"/>
      <c r="O873" s="92"/>
      <c r="P873" s="92"/>
      <c r="Q873" s="92"/>
      <c r="R873" s="92"/>
      <c r="S873" s="92"/>
      <c r="T873" s="92"/>
      <c r="U873" s="92"/>
      <c r="V873" s="92"/>
      <c r="W873" s="92"/>
      <c r="X873" s="92"/>
      <c r="Y873" s="92"/>
      <c r="Z873" s="92"/>
    </row>
    <row r="874" spans="1:26" hidden="1">
      <c r="A874" s="92"/>
      <c r="B874" s="92"/>
      <c r="C874" s="92"/>
      <c r="D874" s="92"/>
      <c r="E874" s="92"/>
      <c r="F874" s="92"/>
      <c r="G874" s="92"/>
      <c r="H874" s="92"/>
      <c r="I874" s="92"/>
      <c r="J874" s="92"/>
      <c r="K874" s="92"/>
      <c r="L874" s="92"/>
      <c r="M874" s="92"/>
      <c r="N874" s="92"/>
      <c r="O874" s="92"/>
      <c r="P874" s="92"/>
      <c r="Q874" s="92"/>
      <c r="R874" s="92"/>
      <c r="S874" s="92"/>
      <c r="T874" s="92"/>
      <c r="U874" s="92"/>
      <c r="V874" s="92"/>
      <c r="W874" s="92"/>
      <c r="X874" s="92"/>
      <c r="Y874" s="92"/>
      <c r="Z874" s="92"/>
    </row>
    <row r="875" spans="1:26" hidden="1">
      <c r="A875" s="92"/>
      <c r="B875" s="92"/>
      <c r="C875" s="92"/>
      <c r="D875" s="92"/>
      <c r="E875" s="92"/>
      <c r="F875" s="92"/>
      <c r="G875" s="92"/>
      <c r="H875" s="92"/>
      <c r="I875" s="92"/>
      <c r="J875" s="92"/>
      <c r="K875" s="92"/>
      <c r="L875" s="92"/>
      <c r="M875" s="92"/>
      <c r="N875" s="92"/>
      <c r="O875" s="92"/>
      <c r="P875" s="92"/>
      <c r="Q875" s="92"/>
      <c r="R875" s="92"/>
      <c r="S875" s="92"/>
      <c r="T875" s="92"/>
      <c r="U875" s="92"/>
      <c r="V875" s="92"/>
      <c r="W875" s="92"/>
      <c r="X875" s="92"/>
      <c r="Y875" s="92"/>
      <c r="Z875" s="92"/>
    </row>
    <row r="876" spans="1:26" hidden="1">
      <c r="A876" s="92"/>
      <c r="B876" s="92"/>
      <c r="C876" s="92"/>
      <c r="D876" s="92"/>
      <c r="E876" s="92"/>
      <c r="F876" s="92"/>
      <c r="G876" s="92"/>
      <c r="H876" s="92"/>
      <c r="I876" s="92"/>
      <c r="J876" s="92"/>
      <c r="K876" s="92"/>
      <c r="L876" s="92"/>
      <c r="M876" s="92"/>
      <c r="N876" s="92"/>
      <c r="O876" s="92"/>
      <c r="P876" s="92"/>
      <c r="Q876" s="92"/>
      <c r="R876" s="92"/>
      <c r="S876" s="92"/>
      <c r="T876" s="92"/>
      <c r="U876" s="92"/>
      <c r="V876" s="92"/>
      <c r="W876" s="92"/>
      <c r="X876" s="92"/>
      <c r="Y876" s="92"/>
      <c r="Z876" s="92"/>
    </row>
    <row r="877" spans="1:26" hidden="1">
      <c r="A877" s="92"/>
      <c r="B877" s="92"/>
      <c r="C877" s="92"/>
      <c r="D877" s="92"/>
      <c r="E877" s="92"/>
      <c r="F877" s="92"/>
      <c r="G877" s="92"/>
      <c r="H877" s="92"/>
      <c r="I877" s="92"/>
      <c r="J877" s="92"/>
      <c r="K877" s="92"/>
      <c r="L877" s="92"/>
      <c r="M877" s="92"/>
      <c r="N877" s="92"/>
      <c r="O877" s="92"/>
      <c r="P877" s="92"/>
      <c r="Q877" s="92"/>
      <c r="R877" s="92"/>
      <c r="S877" s="92"/>
      <c r="T877" s="92"/>
      <c r="U877" s="92"/>
      <c r="V877" s="92"/>
      <c r="W877" s="92"/>
      <c r="X877" s="92"/>
      <c r="Y877" s="92"/>
      <c r="Z877" s="92"/>
    </row>
    <row r="878" spans="1:26" hidden="1">
      <c r="A878" s="92"/>
      <c r="B878" s="92"/>
      <c r="C878" s="92"/>
      <c r="D878" s="92"/>
      <c r="E878" s="92"/>
      <c r="F878" s="92"/>
      <c r="G878" s="92"/>
      <c r="H878" s="92"/>
      <c r="I878" s="92"/>
      <c r="J878" s="92"/>
      <c r="K878" s="92"/>
      <c r="L878" s="92"/>
      <c r="M878" s="92"/>
      <c r="N878" s="92"/>
      <c r="O878" s="92"/>
      <c r="P878" s="92"/>
      <c r="Q878" s="92"/>
      <c r="R878" s="92"/>
      <c r="S878" s="92"/>
      <c r="T878" s="92"/>
      <c r="U878" s="92"/>
      <c r="V878" s="92"/>
      <c r="W878" s="92"/>
      <c r="X878" s="92"/>
      <c r="Y878" s="92"/>
      <c r="Z878" s="92"/>
    </row>
    <row r="879" spans="1:26" hidden="1">
      <c r="A879" s="92"/>
      <c r="B879" s="92"/>
      <c r="C879" s="92"/>
      <c r="D879" s="92"/>
      <c r="E879" s="92"/>
      <c r="F879" s="92"/>
      <c r="G879" s="92"/>
      <c r="H879" s="92"/>
      <c r="I879" s="92"/>
      <c r="J879" s="92"/>
      <c r="K879" s="92"/>
      <c r="L879" s="92"/>
      <c r="M879" s="92"/>
      <c r="N879" s="92"/>
      <c r="O879" s="92"/>
      <c r="P879" s="92"/>
      <c r="Q879" s="92"/>
      <c r="R879" s="92"/>
      <c r="S879" s="92"/>
      <c r="T879" s="92"/>
      <c r="U879" s="92"/>
      <c r="V879" s="92"/>
      <c r="W879" s="92"/>
      <c r="X879" s="92"/>
      <c r="Y879" s="92"/>
      <c r="Z879" s="92"/>
    </row>
    <row r="880" spans="1:26" hidden="1">
      <c r="A880" s="92"/>
      <c r="B880" s="92"/>
      <c r="C880" s="92"/>
      <c r="D880" s="92"/>
      <c r="E880" s="92"/>
      <c r="F880" s="92"/>
      <c r="G880" s="92"/>
      <c r="H880" s="92"/>
      <c r="I880" s="92"/>
      <c r="J880" s="92"/>
      <c r="K880" s="92"/>
      <c r="L880" s="92"/>
      <c r="M880" s="92"/>
      <c r="N880" s="92"/>
      <c r="O880" s="92"/>
      <c r="P880" s="92"/>
      <c r="Q880" s="92"/>
      <c r="R880" s="92"/>
      <c r="S880" s="92"/>
      <c r="T880" s="92"/>
      <c r="U880" s="92"/>
      <c r="V880" s="92"/>
      <c r="W880" s="92"/>
      <c r="X880" s="92"/>
      <c r="Y880" s="92"/>
      <c r="Z880" s="92"/>
    </row>
    <row r="881" spans="1:26" hidden="1">
      <c r="A881" s="92"/>
      <c r="B881" s="92"/>
      <c r="C881" s="92"/>
      <c r="D881" s="92"/>
      <c r="E881" s="92"/>
      <c r="F881" s="92"/>
      <c r="G881" s="92"/>
      <c r="H881" s="92"/>
      <c r="I881" s="92"/>
      <c r="J881" s="92"/>
      <c r="K881" s="92"/>
      <c r="L881" s="92"/>
      <c r="M881" s="92"/>
      <c r="N881" s="92"/>
      <c r="O881" s="92"/>
      <c r="P881" s="92"/>
      <c r="Q881" s="92"/>
      <c r="R881" s="92"/>
      <c r="S881" s="92"/>
      <c r="T881" s="92"/>
      <c r="U881" s="92"/>
      <c r="V881" s="92"/>
      <c r="W881" s="92"/>
      <c r="X881" s="92"/>
      <c r="Y881" s="92"/>
      <c r="Z881" s="92"/>
    </row>
    <row r="882" spans="1:26" hidden="1">
      <c r="A882" s="92"/>
      <c r="B882" s="92"/>
      <c r="C882" s="92"/>
      <c r="D882" s="92"/>
      <c r="E882" s="92"/>
      <c r="F882" s="92"/>
      <c r="G882" s="92"/>
      <c r="H882" s="92"/>
      <c r="I882" s="92"/>
      <c r="J882" s="92"/>
      <c r="K882" s="92"/>
      <c r="L882" s="92"/>
      <c r="M882" s="92"/>
      <c r="N882" s="92"/>
      <c r="O882" s="92"/>
      <c r="P882" s="92"/>
      <c r="Q882" s="92"/>
      <c r="R882" s="92"/>
      <c r="S882" s="92"/>
      <c r="T882" s="92"/>
      <c r="U882" s="92"/>
      <c r="V882" s="92"/>
      <c r="W882" s="92"/>
      <c r="X882" s="92"/>
      <c r="Y882" s="92"/>
      <c r="Z882" s="92"/>
    </row>
    <row r="883" spans="1:26" hidden="1">
      <c r="A883" s="92"/>
      <c r="B883" s="92"/>
      <c r="C883" s="92"/>
      <c r="D883" s="92"/>
      <c r="E883" s="92"/>
      <c r="F883" s="92"/>
      <c r="G883" s="92"/>
      <c r="H883" s="92"/>
      <c r="I883" s="92"/>
      <c r="J883" s="92"/>
      <c r="K883" s="92"/>
      <c r="L883" s="92"/>
      <c r="M883" s="92"/>
      <c r="N883" s="92"/>
      <c r="O883" s="92"/>
      <c r="P883" s="92"/>
      <c r="Q883" s="92"/>
      <c r="R883" s="92"/>
      <c r="S883" s="92"/>
      <c r="T883" s="92"/>
      <c r="U883" s="92"/>
      <c r="V883" s="92"/>
      <c r="W883" s="92"/>
      <c r="X883" s="92"/>
      <c r="Y883" s="92"/>
      <c r="Z883" s="92"/>
    </row>
    <row r="884" spans="1:26" hidden="1">
      <c r="A884" s="92"/>
      <c r="B884" s="92"/>
      <c r="C884" s="92"/>
      <c r="D884" s="92"/>
      <c r="E884" s="92"/>
      <c r="F884" s="92"/>
      <c r="G884" s="92"/>
      <c r="H884" s="92"/>
      <c r="I884" s="92"/>
      <c r="J884" s="92"/>
      <c r="K884" s="92"/>
      <c r="L884" s="92"/>
      <c r="M884" s="92"/>
      <c r="N884" s="92"/>
      <c r="O884" s="92"/>
      <c r="P884" s="92"/>
      <c r="Q884" s="92"/>
      <c r="R884" s="92"/>
      <c r="S884" s="92"/>
      <c r="T884" s="92"/>
      <c r="U884" s="92"/>
      <c r="V884" s="92"/>
      <c r="W884" s="92"/>
      <c r="X884" s="92"/>
      <c r="Y884" s="92"/>
      <c r="Z884" s="92"/>
    </row>
    <row r="885" spans="1:26" hidden="1">
      <c r="A885" s="92"/>
      <c r="B885" s="92"/>
      <c r="C885" s="92"/>
      <c r="D885" s="92"/>
      <c r="E885" s="92"/>
      <c r="F885" s="92"/>
      <c r="G885" s="92"/>
      <c r="H885" s="92"/>
      <c r="I885" s="92"/>
      <c r="J885" s="92"/>
      <c r="K885" s="92"/>
      <c r="L885" s="92"/>
      <c r="M885" s="92"/>
      <c r="N885" s="92"/>
      <c r="O885" s="92"/>
      <c r="P885" s="92"/>
      <c r="Q885" s="92"/>
      <c r="R885" s="92"/>
      <c r="S885" s="92"/>
      <c r="T885" s="92"/>
      <c r="U885" s="92"/>
      <c r="V885" s="92"/>
      <c r="W885" s="92"/>
      <c r="X885" s="92"/>
      <c r="Y885" s="92"/>
      <c r="Z885" s="92"/>
    </row>
    <row r="886" spans="1:26" hidden="1">
      <c r="A886" s="92"/>
      <c r="B886" s="92"/>
      <c r="C886" s="92"/>
      <c r="D886" s="92"/>
      <c r="E886" s="92"/>
      <c r="F886" s="92"/>
      <c r="G886" s="92"/>
      <c r="H886" s="92"/>
      <c r="I886" s="92"/>
      <c r="J886" s="92"/>
      <c r="K886" s="92"/>
      <c r="L886" s="92"/>
      <c r="M886" s="92"/>
      <c r="N886" s="92"/>
      <c r="O886" s="92"/>
      <c r="P886" s="92"/>
      <c r="Q886" s="92"/>
      <c r="R886" s="92"/>
      <c r="S886" s="92"/>
      <c r="T886" s="92"/>
      <c r="U886" s="92"/>
      <c r="V886" s="92"/>
      <c r="W886" s="92"/>
      <c r="X886" s="92"/>
      <c r="Y886" s="92"/>
      <c r="Z886" s="92"/>
    </row>
    <row r="887" spans="1:26" hidden="1">
      <c r="A887" s="92"/>
      <c r="B887" s="92"/>
      <c r="C887" s="92"/>
      <c r="D887" s="92"/>
      <c r="E887" s="92"/>
      <c r="F887" s="92"/>
      <c r="G887" s="92"/>
      <c r="H887" s="92"/>
      <c r="I887" s="92"/>
      <c r="J887" s="92"/>
      <c r="K887" s="92"/>
      <c r="L887" s="92"/>
      <c r="M887" s="92"/>
      <c r="N887" s="92"/>
      <c r="O887" s="92"/>
      <c r="P887" s="92"/>
      <c r="Q887" s="92"/>
      <c r="R887" s="92"/>
      <c r="S887" s="92"/>
      <c r="T887" s="92"/>
      <c r="U887" s="92"/>
      <c r="V887" s="92"/>
      <c r="W887" s="92"/>
      <c r="X887" s="92"/>
      <c r="Y887" s="92"/>
      <c r="Z887" s="92"/>
    </row>
    <row r="888" spans="1:26" hidden="1">
      <c r="A888" s="92"/>
      <c r="B888" s="92"/>
      <c r="C888" s="92"/>
      <c r="D888" s="92"/>
      <c r="E888" s="92"/>
      <c r="F888" s="92"/>
      <c r="G888" s="92"/>
      <c r="H888" s="92"/>
      <c r="I888" s="92"/>
      <c r="J888" s="92"/>
      <c r="K888" s="92"/>
      <c r="L888" s="92"/>
      <c r="M888" s="92"/>
      <c r="N888" s="92"/>
      <c r="O888" s="92"/>
      <c r="P888" s="92"/>
      <c r="Q888" s="92"/>
      <c r="R888" s="92"/>
      <c r="S888" s="92"/>
      <c r="T888" s="92"/>
      <c r="U888" s="92"/>
      <c r="V888" s="92"/>
      <c r="W888" s="92"/>
      <c r="X888" s="92"/>
      <c r="Y888" s="92"/>
      <c r="Z888" s="92"/>
    </row>
    <row r="889" spans="1:26" hidden="1">
      <c r="A889" s="92"/>
      <c r="B889" s="92"/>
      <c r="C889" s="92"/>
      <c r="D889" s="92"/>
      <c r="E889" s="92"/>
      <c r="F889" s="92"/>
      <c r="G889" s="92"/>
      <c r="H889" s="92"/>
      <c r="I889" s="92"/>
      <c r="J889" s="92"/>
      <c r="K889" s="92"/>
      <c r="L889" s="92"/>
      <c r="M889" s="92"/>
      <c r="N889" s="92"/>
      <c r="O889" s="92"/>
      <c r="P889" s="92"/>
      <c r="Q889" s="92"/>
      <c r="R889" s="92"/>
      <c r="S889" s="92"/>
      <c r="T889" s="92"/>
      <c r="U889" s="92"/>
      <c r="V889" s="92"/>
      <c r="W889" s="92"/>
      <c r="X889" s="92"/>
      <c r="Y889" s="92"/>
      <c r="Z889" s="92"/>
    </row>
    <row r="890" spans="1:26" hidden="1">
      <c r="A890" s="92"/>
      <c r="B890" s="92"/>
      <c r="C890" s="92"/>
      <c r="D890" s="92"/>
      <c r="E890" s="92"/>
      <c r="F890" s="92"/>
      <c r="G890" s="92"/>
      <c r="H890" s="92"/>
      <c r="I890" s="92"/>
      <c r="J890" s="92"/>
      <c r="K890" s="92"/>
      <c r="L890" s="92"/>
      <c r="M890" s="92"/>
      <c r="N890" s="92"/>
      <c r="O890" s="92"/>
      <c r="P890" s="92"/>
      <c r="Q890" s="92"/>
      <c r="R890" s="92"/>
      <c r="S890" s="92"/>
      <c r="T890" s="92"/>
      <c r="U890" s="92"/>
      <c r="V890" s="92"/>
      <c r="W890" s="92"/>
      <c r="X890" s="92"/>
      <c r="Y890" s="92"/>
      <c r="Z890" s="92"/>
    </row>
    <row r="891" spans="1:26" hidden="1">
      <c r="A891" s="92"/>
      <c r="B891" s="92"/>
      <c r="C891" s="92"/>
      <c r="D891" s="92"/>
      <c r="E891" s="92"/>
      <c r="F891" s="92"/>
      <c r="G891" s="92"/>
      <c r="H891" s="92"/>
      <c r="I891" s="92"/>
      <c r="J891" s="92"/>
      <c r="K891" s="92"/>
      <c r="L891" s="92"/>
      <c r="M891" s="92"/>
      <c r="N891" s="92"/>
      <c r="O891" s="92"/>
      <c r="P891" s="92"/>
      <c r="Q891" s="92"/>
      <c r="R891" s="92"/>
      <c r="S891" s="92"/>
      <c r="T891" s="92"/>
      <c r="U891" s="92"/>
      <c r="V891" s="92"/>
      <c r="W891" s="92"/>
      <c r="X891" s="92"/>
      <c r="Y891" s="92"/>
      <c r="Z891" s="92"/>
    </row>
    <row r="892" spans="1:26" hidden="1">
      <c r="A892" s="92"/>
      <c r="B892" s="92"/>
      <c r="C892" s="92"/>
      <c r="D892" s="92"/>
      <c r="E892" s="92"/>
      <c r="F892" s="92"/>
      <c r="G892" s="92"/>
      <c r="H892" s="92"/>
      <c r="I892" s="92"/>
      <c r="J892" s="92"/>
      <c r="K892" s="92"/>
      <c r="L892" s="92"/>
      <c r="M892" s="92"/>
      <c r="N892" s="92"/>
      <c r="O892" s="92"/>
      <c r="P892" s="92"/>
      <c r="Q892" s="92"/>
      <c r="R892" s="92"/>
      <c r="S892" s="92"/>
      <c r="T892" s="92"/>
      <c r="U892" s="92"/>
      <c r="V892" s="92"/>
      <c r="W892" s="92"/>
      <c r="X892" s="92"/>
      <c r="Y892" s="92"/>
      <c r="Z892" s="92"/>
    </row>
    <row r="893" spans="1:26" hidden="1">
      <c r="A893" s="92"/>
      <c r="B893" s="92"/>
      <c r="C893" s="92"/>
      <c r="D893" s="92"/>
      <c r="E893" s="92"/>
      <c r="F893" s="92"/>
      <c r="G893" s="92"/>
      <c r="H893" s="92"/>
      <c r="I893" s="92"/>
      <c r="J893" s="92"/>
      <c r="K893" s="92"/>
      <c r="L893" s="92"/>
      <c r="M893" s="92"/>
      <c r="N893" s="92"/>
      <c r="O893" s="92"/>
      <c r="P893" s="92"/>
      <c r="Q893" s="92"/>
      <c r="R893" s="92"/>
      <c r="S893" s="92"/>
      <c r="T893" s="92"/>
      <c r="U893" s="92"/>
      <c r="V893" s="92"/>
      <c r="W893" s="92"/>
      <c r="X893" s="92"/>
      <c r="Y893" s="92"/>
      <c r="Z893" s="92"/>
    </row>
    <row r="894" spans="1:26" hidden="1">
      <c r="A894" s="92"/>
      <c r="B894" s="92"/>
      <c r="C894" s="92"/>
      <c r="D894" s="92"/>
      <c r="E894" s="92"/>
      <c r="F894" s="92"/>
      <c r="G894" s="92"/>
      <c r="H894" s="92"/>
      <c r="I894" s="92"/>
      <c r="J894" s="92"/>
      <c r="K894" s="92"/>
      <c r="L894" s="92"/>
      <c r="M894" s="92"/>
      <c r="N894" s="92"/>
      <c r="O894" s="92"/>
      <c r="P894" s="92"/>
      <c r="Q894" s="92"/>
      <c r="R894" s="92"/>
      <c r="S894" s="92"/>
      <c r="T894" s="92"/>
      <c r="U894" s="92"/>
      <c r="V894" s="92"/>
      <c r="W894" s="92"/>
      <c r="X894" s="92"/>
      <c r="Y894" s="92"/>
      <c r="Z894" s="92"/>
    </row>
    <row r="895" spans="1:26" hidden="1">
      <c r="A895" s="92"/>
      <c r="B895" s="92"/>
      <c r="C895" s="92"/>
      <c r="D895" s="92"/>
      <c r="E895" s="92"/>
      <c r="F895" s="92"/>
      <c r="G895" s="92"/>
      <c r="H895" s="92"/>
      <c r="I895" s="92"/>
      <c r="J895" s="92"/>
      <c r="K895" s="92"/>
      <c r="L895" s="92"/>
      <c r="M895" s="92"/>
      <c r="N895" s="92"/>
      <c r="O895" s="92"/>
      <c r="P895" s="92"/>
      <c r="Q895" s="92"/>
      <c r="R895" s="92"/>
      <c r="S895" s="92"/>
      <c r="T895" s="92"/>
      <c r="U895" s="92"/>
      <c r="V895" s="92"/>
      <c r="W895" s="92"/>
      <c r="X895" s="92"/>
      <c r="Y895" s="92"/>
      <c r="Z895" s="92"/>
    </row>
    <row r="896" spans="1:26" hidden="1">
      <c r="A896" s="92"/>
      <c r="B896" s="92"/>
      <c r="C896" s="92"/>
      <c r="D896" s="92"/>
      <c r="E896" s="92"/>
      <c r="F896" s="92"/>
      <c r="G896" s="92"/>
      <c r="H896" s="92"/>
      <c r="I896" s="92"/>
      <c r="J896" s="92"/>
      <c r="K896" s="92"/>
      <c r="L896" s="92"/>
      <c r="M896" s="92"/>
      <c r="N896" s="92"/>
      <c r="O896" s="92"/>
      <c r="P896" s="92"/>
      <c r="Q896" s="92"/>
      <c r="R896" s="92"/>
      <c r="S896" s="92"/>
      <c r="T896" s="92"/>
      <c r="U896" s="92"/>
      <c r="V896" s="92"/>
      <c r="W896" s="92"/>
      <c r="X896" s="92"/>
      <c r="Y896" s="92"/>
      <c r="Z896" s="92"/>
    </row>
    <row r="897" spans="1:26" hidden="1">
      <c r="A897" s="92"/>
      <c r="B897" s="92"/>
      <c r="C897" s="92"/>
      <c r="D897" s="92"/>
      <c r="E897" s="92"/>
      <c r="F897" s="92"/>
      <c r="G897" s="92"/>
      <c r="H897" s="92"/>
      <c r="I897" s="92"/>
      <c r="J897" s="92"/>
      <c r="K897" s="92"/>
      <c r="L897" s="92"/>
      <c r="M897" s="92"/>
      <c r="N897" s="92"/>
      <c r="O897" s="92"/>
      <c r="P897" s="92"/>
      <c r="Q897" s="92"/>
      <c r="R897" s="92"/>
      <c r="S897" s="92"/>
      <c r="T897" s="92"/>
      <c r="U897" s="92"/>
      <c r="V897" s="92"/>
      <c r="W897" s="92"/>
      <c r="X897" s="92"/>
      <c r="Y897" s="92"/>
      <c r="Z897" s="92"/>
    </row>
    <row r="898" spans="1:26" hidden="1">
      <c r="A898" s="92"/>
      <c r="B898" s="92"/>
      <c r="C898" s="92"/>
      <c r="D898" s="92"/>
      <c r="E898" s="92"/>
      <c r="F898" s="92"/>
      <c r="G898" s="92"/>
      <c r="H898" s="92"/>
      <c r="I898" s="92"/>
      <c r="J898" s="92"/>
      <c r="K898" s="92"/>
      <c r="L898" s="92"/>
      <c r="M898" s="92"/>
      <c r="N898" s="92"/>
      <c r="O898" s="92"/>
      <c r="P898" s="92"/>
      <c r="Q898" s="92"/>
      <c r="R898" s="92"/>
      <c r="S898" s="92"/>
      <c r="T898" s="92"/>
      <c r="U898" s="92"/>
      <c r="V898" s="92"/>
      <c r="W898" s="92"/>
      <c r="X898" s="92"/>
      <c r="Y898" s="92"/>
      <c r="Z898" s="92"/>
    </row>
    <row r="899" spans="1:26" hidden="1">
      <c r="A899" s="92"/>
      <c r="B899" s="92"/>
      <c r="C899" s="92"/>
      <c r="D899" s="92"/>
      <c r="E899" s="92"/>
      <c r="F899" s="92"/>
      <c r="G899" s="92"/>
      <c r="H899" s="92"/>
      <c r="I899" s="92"/>
      <c r="J899" s="92"/>
      <c r="K899" s="92"/>
      <c r="L899" s="92"/>
      <c r="M899" s="92"/>
      <c r="N899" s="92"/>
      <c r="O899" s="92"/>
      <c r="P899" s="92"/>
      <c r="Q899" s="92"/>
      <c r="R899" s="92"/>
      <c r="S899" s="92"/>
      <c r="T899" s="92"/>
      <c r="U899" s="92"/>
      <c r="V899" s="92"/>
      <c r="W899" s="92"/>
      <c r="X899" s="92"/>
      <c r="Y899" s="92"/>
      <c r="Z899" s="92"/>
    </row>
    <row r="900" spans="1:26" hidden="1">
      <c r="A900" s="92"/>
      <c r="B900" s="92"/>
      <c r="C900" s="92"/>
      <c r="D900" s="92"/>
      <c r="E900" s="92"/>
      <c r="F900" s="92"/>
      <c r="G900" s="92"/>
      <c r="H900" s="92"/>
      <c r="I900" s="92"/>
      <c r="J900" s="92"/>
      <c r="K900" s="92"/>
      <c r="L900" s="92"/>
      <c r="M900" s="92"/>
      <c r="N900" s="92"/>
      <c r="O900" s="92"/>
      <c r="P900" s="92"/>
      <c r="Q900" s="92"/>
      <c r="R900" s="92"/>
      <c r="S900" s="92"/>
      <c r="T900" s="92"/>
      <c r="U900" s="92"/>
      <c r="V900" s="92"/>
      <c r="W900" s="92"/>
      <c r="X900" s="92"/>
      <c r="Y900" s="92"/>
      <c r="Z900" s="92"/>
    </row>
    <row r="901" spans="1:26" hidden="1">
      <c r="A901" s="92"/>
      <c r="B901" s="92"/>
      <c r="C901" s="92"/>
      <c r="D901" s="92"/>
      <c r="E901" s="92"/>
      <c r="F901" s="92"/>
      <c r="G901" s="92"/>
      <c r="H901" s="92"/>
      <c r="I901" s="92"/>
      <c r="J901" s="92"/>
      <c r="K901" s="92"/>
      <c r="L901" s="92"/>
      <c r="M901" s="92"/>
      <c r="N901" s="92"/>
      <c r="O901" s="92"/>
      <c r="P901" s="92"/>
      <c r="Q901" s="92"/>
      <c r="R901" s="92"/>
      <c r="S901" s="92"/>
      <c r="T901" s="92"/>
      <c r="U901" s="92"/>
      <c r="V901" s="92"/>
      <c r="W901" s="92"/>
      <c r="X901" s="92"/>
      <c r="Y901" s="92"/>
      <c r="Z901" s="92"/>
    </row>
    <row r="902" spans="1:26" hidden="1">
      <c r="A902" s="92"/>
      <c r="B902" s="92"/>
      <c r="C902" s="92"/>
      <c r="D902" s="92"/>
      <c r="E902" s="92"/>
      <c r="F902" s="92"/>
      <c r="G902" s="92"/>
      <c r="H902" s="92"/>
      <c r="I902" s="92"/>
      <c r="J902" s="92"/>
      <c r="K902" s="92"/>
      <c r="L902" s="92"/>
      <c r="M902" s="92"/>
      <c r="N902" s="92"/>
      <c r="O902" s="92"/>
      <c r="P902" s="92"/>
      <c r="Q902" s="92"/>
      <c r="R902" s="92"/>
      <c r="S902" s="92"/>
      <c r="T902" s="92"/>
      <c r="U902" s="92"/>
      <c r="V902" s="92"/>
      <c r="W902" s="92"/>
      <c r="X902" s="92"/>
      <c r="Y902" s="92"/>
      <c r="Z902" s="92"/>
    </row>
    <row r="903" spans="1:26" hidden="1">
      <c r="A903" s="92"/>
      <c r="B903" s="92"/>
      <c r="C903" s="92"/>
      <c r="D903" s="92"/>
      <c r="E903" s="92"/>
      <c r="F903" s="92"/>
      <c r="G903" s="92"/>
      <c r="H903" s="92"/>
      <c r="I903" s="92"/>
      <c r="J903" s="92"/>
      <c r="K903" s="92"/>
      <c r="L903" s="92"/>
      <c r="M903" s="92"/>
      <c r="N903" s="92"/>
      <c r="O903" s="92"/>
      <c r="P903" s="92"/>
      <c r="Q903" s="92"/>
      <c r="R903" s="92"/>
      <c r="S903" s="92"/>
      <c r="T903" s="92"/>
      <c r="U903" s="92"/>
      <c r="V903" s="92"/>
      <c r="W903" s="92"/>
      <c r="X903" s="92"/>
      <c r="Y903" s="92"/>
      <c r="Z903" s="92"/>
    </row>
    <row r="904" spans="1:26" hidden="1">
      <c r="A904" s="92"/>
      <c r="B904" s="92"/>
      <c r="C904" s="92"/>
      <c r="D904" s="92"/>
      <c r="E904" s="92"/>
      <c r="F904" s="92"/>
      <c r="G904" s="92"/>
      <c r="H904" s="92"/>
      <c r="I904" s="92"/>
      <c r="J904" s="92"/>
      <c r="K904" s="92"/>
      <c r="L904" s="92"/>
      <c r="M904" s="92"/>
      <c r="N904" s="92"/>
      <c r="O904" s="92"/>
      <c r="P904" s="92"/>
      <c r="Q904" s="92"/>
      <c r="R904" s="92"/>
      <c r="S904" s="92"/>
      <c r="T904" s="92"/>
      <c r="U904" s="92"/>
      <c r="V904" s="92"/>
      <c r="W904" s="92"/>
      <c r="X904" s="92"/>
      <c r="Y904" s="92"/>
      <c r="Z904" s="92"/>
    </row>
    <row r="905" spans="1:26" hidden="1">
      <c r="A905" s="92"/>
      <c r="B905" s="92"/>
      <c r="C905" s="92"/>
      <c r="D905" s="92"/>
      <c r="E905" s="92"/>
      <c r="F905" s="92"/>
      <c r="G905" s="92"/>
      <c r="H905" s="92"/>
      <c r="I905" s="92"/>
      <c r="J905" s="92"/>
      <c r="K905" s="92"/>
      <c r="L905" s="92"/>
      <c r="M905" s="92"/>
      <c r="N905" s="92"/>
      <c r="O905" s="92"/>
      <c r="P905" s="92"/>
      <c r="Q905" s="92"/>
      <c r="R905" s="92"/>
      <c r="S905" s="92"/>
      <c r="T905" s="92"/>
      <c r="U905" s="92"/>
      <c r="V905" s="92"/>
      <c r="W905" s="92"/>
      <c r="X905" s="92"/>
      <c r="Y905" s="92"/>
      <c r="Z905" s="92"/>
    </row>
    <row r="906" spans="1:26" hidden="1">
      <c r="A906" s="92"/>
      <c r="B906" s="92"/>
      <c r="C906" s="92"/>
      <c r="D906" s="92"/>
      <c r="E906" s="92"/>
      <c r="F906" s="92"/>
      <c r="G906" s="92"/>
      <c r="H906" s="92"/>
      <c r="I906" s="92"/>
      <c r="J906" s="92"/>
      <c r="K906" s="92"/>
      <c r="L906" s="92"/>
      <c r="M906" s="92"/>
      <c r="N906" s="92"/>
      <c r="O906" s="92"/>
      <c r="P906" s="92"/>
      <c r="Q906" s="92"/>
      <c r="R906" s="92"/>
      <c r="S906" s="92"/>
      <c r="T906" s="92"/>
      <c r="U906" s="92"/>
      <c r="V906" s="92"/>
      <c r="W906" s="92"/>
      <c r="X906" s="92"/>
      <c r="Y906" s="92"/>
      <c r="Z906" s="92"/>
    </row>
    <row r="907" spans="1:26" hidden="1">
      <c r="A907" s="92"/>
      <c r="B907" s="92"/>
      <c r="C907" s="92"/>
      <c r="D907" s="92"/>
      <c r="E907" s="92"/>
      <c r="F907" s="92"/>
      <c r="G907" s="92"/>
      <c r="H907" s="92"/>
      <c r="I907" s="92"/>
      <c r="J907" s="92"/>
      <c r="K907" s="92"/>
      <c r="L907" s="92"/>
      <c r="M907" s="92"/>
      <c r="N907" s="92"/>
      <c r="O907" s="92"/>
      <c r="P907" s="92"/>
      <c r="Q907" s="92"/>
      <c r="R907" s="92"/>
      <c r="S907" s="92"/>
      <c r="T907" s="92"/>
      <c r="U907" s="92"/>
      <c r="V907" s="92"/>
      <c r="W907" s="92"/>
      <c r="X907" s="92"/>
      <c r="Y907" s="92"/>
      <c r="Z907" s="92"/>
    </row>
    <row r="908" spans="1:26" hidden="1">
      <c r="A908" s="92"/>
      <c r="B908" s="92"/>
      <c r="C908" s="92"/>
      <c r="D908" s="92"/>
      <c r="E908" s="92"/>
      <c r="F908" s="92"/>
      <c r="G908" s="92"/>
      <c r="H908" s="92"/>
      <c r="I908" s="92"/>
      <c r="J908" s="92"/>
      <c r="K908" s="92"/>
      <c r="L908" s="92"/>
      <c r="M908" s="92"/>
      <c r="N908" s="92"/>
      <c r="O908" s="92"/>
      <c r="P908" s="92"/>
      <c r="Q908" s="92"/>
      <c r="R908" s="92"/>
      <c r="S908" s="92"/>
      <c r="T908" s="92"/>
      <c r="U908" s="92"/>
      <c r="V908" s="92"/>
      <c r="W908" s="92"/>
      <c r="X908" s="92"/>
      <c r="Y908" s="92"/>
      <c r="Z908" s="92"/>
    </row>
    <row r="909" spans="1:26" hidden="1">
      <c r="A909" s="92"/>
      <c r="B909" s="92"/>
      <c r="C909" s="92"/>
      <c r="D909" s="92"/>
      <c r="E909" s="92"/>
      <c r="F909" s="92"/>
      <c r="G909" s="92"/>
      <c r="H909" s="92"/>
      <c r="I909" s="92"/>
      <c r="J909" s="92"/>
      <c r="K909" s="92"/>
      <c r="L909" s="92"/>
      <c r="M909" s="92"/>
      <c r="N909" s="92"/>
      <c r="O909" s="92"/>
      <c r="P909" s="92"/>
      <c r="Q909" s="92"/>
      <c r="R909" s="92"/>
      <c r="S909" s="92"/>
      <c r="T909" s="92"/>
      <c r="U909" s="92"/>
      <c r="V909" s="92"/>
      <c r="W909" s="92"/>
      <c r="X909" s="92"/>
      <c r="Y909" s="92"/>
      <c r="Z909" s="92"/>
    </row>
    <row r="910" spans="1:26" hidden="1">
      <c r="A910" s="92"/>
      <c r="B910" s="92"/>
      <c r="C910" s="92"/>
      <c r="D910" s="92"/>
      <c r="E910" s="92"/>
      <c r="F910" s="92"/>
      <c r="G910" s="92"/>
      <c r="H910" s="92"/>
      <c r="I910" s="92"/>
      <c r="J910" s="92"/>
      <c r="K910" s="92"/>
      <c r="L910" s="92"/>
      <c r="M910" s="92"/>
      <c r="N910" s="92"/>
      <c r="O910" s="92"/>
      <c r="P910" s="92"/>
      <c r="Q910" s="92"/>
      <c r="R910" s="92"/>
      <c r="S910" s="92"/>
      <c r="T910" s="92"/>
      <c r="U910" s="92"/>
      <c r="V910" s="92"/>
      <c r="W910" s="92"/>
      <c r="X910" s="92"/>
      <c r="Y910" s="92"/>
      <c r="Z910" s="92"/>
    </row>
    <row r="911" spans="1:26" hidden="1">
      <c r="A911" s="92"/>
      <c r="B911" s="92"/>
      <c r="C911" s="92"/>
      <c r="D911" s="92"/>
      <c r="E911" s="92"/>
      <c r="F911" s="92"/>
      <c r="G911" s="92"/>
      <c r="H911" s="92"/>
      <c r="I911" s="92"/>
      <c r="J911" s="92"/>
      <c r="K911" s="92"/>
      <c r="L911" s="92"/>
      <c r="M911" s="92"/>
      <c r="N911" s="92"/>
      <c r="O911" s="92"/>
      <c r="P911" s="92"/>
      <c r="Q911" s="92"/>
      <c r="R911" s="92"/>
      <c r="S911" s="92"/>
      <c r="T911" s="92"/>
      <c r="U911" s="92"/>
      <c r="V911" s="92"/>
      <c r="W911" s="92"/>
      <c r="X911" s="92"/>
      <c r="Y911" s="92"/>
      <c r="Z911" s="92"/>
    </row>
    <row r="912" spans="1:26" hidden="1">
      <c r="A912" s="92"/>
      <c r="B912" s="92"/>
      <c r="C912" s="92"/>
      <c r="D912" s="92"/>
      <c r="E912" s="92"/>
      <c r="F912" s="92"/>
      <c r="G912" s="92"/>
      <c r="H912" s="92"/>
      <c r="I912" s="92"/>
      <c r="J912" s="92"/>
      <c r="K912" s="92"/>
      <c r="L912" s="92"/>
      <c r="M912" s="92"/>
      <c r="N912" s="92"/>
      <c r="O912" s="92"/>
      <c r="P912" s="92"/>
      <c r="Q912" s="92"/>
      <c r="R912" s="92"/>
      <c r="S912" s="92"/>
      <c r="T912" s="92"/>
      <c r="U912" s="92"/>
      <c r="V912" s="92"/>
      <c r="W912" s="92"/>
      <c r="X912" s="92"/>
      <c r="Y912" s="92"/>
      <c r="Z912" s="92"/>
    </row>
    <row r="913" spans="1:26" hidden="1">
      <c r="A913" s="92"/>
      <c r="B913" s="92"/>
      <c r="C913" s="92"/>
      <c r="D913" s="92"/>
      <c r="E913" s="92"/>
      <c r="F913" s="92"/>
      <c r="G913" s="92"/>
      <c r="H913" s="92"/>
      <c r="I913" s="92"/>
      <c r="J913" s="92"/>
      <c r="K913" s="92"/>
      <c r="L913" s="92"/>
      <c r="M913" s="92"/>
      <c r="N913" s="92"/>
      <c r="O913" s="92"/>
      <c r="P913" s="92"/>
      <c r="Q913" s="92"/>
      <c r="R913" s="92"/>
      <c r="S913" s="92"/>
      <c r="T913" s="92"/>
      <c r="U913" s="92"/>
      <c r="V913" s="92"/>
      <c r="W913" s="92"/>
      <c r="X913" s="92"/>
      <c r="Y913" s="92"/>
      <c r="Z913" s="92"/>
    </row>
    <row r="914" spans="1:26" hidden="1">
      <c r="A914" s="92"/>
      <c r="B914" s="92"/>
      <c r="C914" s="92"/>
      <c r="D914" s="92"/>
      <c r="E914" s="92"/>
      <c r="F914" s="92"/>
      <c r="G914" s="92"/>
      <c r="H914" s="92"/>
      <c r="I914" s="92"/>
      <c r="J914" s="92"/>
      <c r="K914" s="92"/>
      <c r="L914" s="92"/>
      <c r="M914" s="92"/>
      <c r="N914" s="92"/>
      <c r="O914" s="92"/>
      <c r="P914" s="92"/>
      <c r="Q914" s="92"/>
      <c r="R914" s="92"/>
      <c r="S914" s="92"/>
      <c r="T914" s="92"/>
      <c r="U914" s="92"/>
      <c r="V914" s="92"/>
      <c r="W914" s="92"/>
      <c r="X914" s="92"/>
      <c r="Y914" s="92"/>
      <c r="Z914" s="92"/>
    </row>
    <row r="915" spans="1:26" hidden="1">
      <c r="A915" s="92"/>
      <c r="B915" s="92"/>
      <c r="C915" s="92"/>
      <c r="D915" s="92"/>
      <c r="E915" s="92"/>
      <c r="F915" s="92"/>
      <c r="G915" s="92"/>
      <c r="H915" s="92"/>
      <c r="I915" s="92"/>
      <c r="J915" s="92"/>
      <c r="K915" s="92"/>
      <c r="L915" s="92"/>
      <c r="M915" s="92"/>
      <c r="N915" s="92"/>
      <c r="O915" s="92"/>
      <c r="P915" s="92"/>
      <c r="Q915" s="92"/>
      <c r="R915" s="92"/>
      <c r="S915" s="92"/>
      <c r="T915" s="92"/>
      <c r="U915" s="92"/>
      <c r="V915" s="92"/>
      <c r="W915" s="92"/>
      <c r="X915" s="92"/>
      <c r="Y915" s="92"/>
      <c r="Z915" s="92"/>
    </row>
    <row r="916" spans="1:26" hidden="1">
      <c r="A916" s="92"/>
      <c r="B916" s="92"/>
      <c r="C916" s="92"/>
      <c r="D916" s="92"/>
      <c r="E916" s="92"/>
      <c r="F916" s="92"/>
      <c r="G916" s="92"/>
      <c r="H916" s="92"/>
      <c r="I916" s="92"/>
      <c r="J916" s="92"/>
      <c r="K916" s="92"/>
      <c r="L916" s="92"/>
      <c r="M916" s="92"/>
      <c r="N916" s="92"/>
      <c r="O916" s="92"/>
      <c r="P916" s="92"/>
      <c r="Q916" s="92"/>
      <c r="R916" s="92"/>
      <c r="S916" s="92"/>
      <c r="T916" s="92"/>
      <c r="U916" s="92"/>
      <c r="V916" s="92"/>
      <c r="W916" s="92"/>
      <c r="X916" s="92"/>
      <c r="Y916" s="92"/>
      <c r="Z916" s="92"/>
    </row>
    <row r="917" spans="1:26" hidden="1">
      <c r="A917" s="92"/>
      <c r="B917" s="92"/>
      <c r="C917" s="92"/>
      <c r="D917" s="92"/>
      <c r="E917" s="92"/>
      <c r="F917" s="92"/>
      <c r="G917" s="92"/>
      <c r="H917" s="92"/>
      <c r="I917" s="92"/>
      <c r="J917" s="92"/>
      <c r="K917" s="92"/>
      <c r="L917" s="92"/>
      <c r="M917" s="92"/>
      <c r="N917" s="92"/>
      <c r="O917" s="92"/>
      <c r="P917" s="92"/>
      <c r="Q917" s="92"/>
      <c r="R917" s="92"/>
      <c r="S917" s="92"/>
      <c r="T917" s="92"/>
      <c r="U917" s="92"/>
      <c r="V917" s="92"/>
      <c r="W917" s="92"/>
      <c r="X917" s="92"/>
      <c r="Y917" s="92"/>
      <c r="Z917" s="92"/>
    </row>
    <row r="918" spans="1:26" hidden="1">
      <c r="A918" s="92"/>
      <c r="B918" s="92"/>
      <c r="C918" s="92"/>
      <c r="D918" s="92"/>
      <c r="E918" s="92"/>
      <c r="F918" s="92"/>
      <c r="G918" s="92"/>
      <c r="H918" s="92"/>
      <c r="I918" s="92"/>
      <c r="J918" s="92"/>
      <c r="K918" s="92"/>
      <c r="L918" s="92"/>
      <c r="M918" s="92"/>
      <c r="N918" s="92"/>
      <c r="O918" s="92"/>
      <c r="P918" s="92"/>
      <c r="Q918" s="92"/>
      <c r="R918" s="92"/>
      <c r="S918" s="92"/>
      <c r="T918" s="92"/>
      <c r="U918" s="92"/>
      <c r="V918" s="92"/>
      <c r="W918" s="92"/>
      <c r="X918" s="92"/>
      <c r="Y918" s="92"/>
      <c r="Z918" s="92"/>
    </row>
    <row r="919" spans="1:26" hidden="1">
      <c r="A919" s="92"/>
      <c r="B919" s="92"/>
      <c r="C919" s="92"/>
      <c r="D919" s="92"/>
      <c r="E919" s="92"/>
      <c r="F919" s="92"/>
      <c r="G919" s="92"/>
      <c r="H919" s="92"/>
      <c r="I919" s="92"/>
      <c r="J919" s="92"/>
      <c r="K919" s="92"/>
      <c r="L919" s="92"/>
      <c r="M919" s="92"/>
      <c r="N919" s="92"/>
      <c r="O919" s="92"/>
      <c r="P919" s="92"/>
      <c r="Q919" s="92"/>
      <c r="R919" s="92"/>
      <c r="S919" s="92"/>
      <c r="T919" s="92"/>
      <c r="U919" s="92"/>
      <c r="V919" s="92"/>
      <c r="W919" s="92"/>
      <c r="X919" s="92"/>
      <c r="Y919" s="92"/>
      <c r="Z919" s="92"/>
    </row>
    <row r="920" spans="1:26" hidden="1">
      <c r="A920" s="92"/>
      <c r="B920" s="92"/>
      <c r="C920" s="92"/>
      <c r="D920" s="92"/>
      <c r="E920" s="92"/>
      <c r="F920" s="92"/>
      <c r="G920" s="92"/>
      <c r="H920" s="92"/>
      <c r="I920" s="92"/>
      <c r="J920" s="92"/>
      <c r="K920" s="92"/>
      <c r="L920" s="92"/>
      <c r="M920" s="92"/>
      <c r="N920" s="92"/>
      <c r="O920" s="92"/>
      <c r="P920" s="92"/>
      <c r="Q920" s="92"/>
      <c r="R920" s="92"/>
      <c r="S920" s="92"/>
      <c r="T920" s="92"/>
      <c r="U920" s="92"/>
      <c r="V920" s="92"/>
      <c r="W920" s="92"/>
      <c r="X920" s="92"/>
      <c r="Y920" s="92"/>
      <c r="Z920" s="92"/>
    </row>
    <row r="921" spans="1:26" hidden="1">
      <c r="A921" s="92"/>
      <c r="B921" s="92"/>
      <c r="C921" s="92"/>
      <c r="D921" s="92"/>
      <c r="E921" s="92"/>
      <c r="F921" s="92"/>
      <c r="G921" s="92"/>
      <c r="H921" s="92"/>
      <c r="I921" s="92"/>
      <c r="J921" s="92"/>
      <c r="K921" s="92"/>
      <c r="L921" s="92"/>
      <c r="M921" s="92"/>
      <c r="N921" s="92"/>
      <c r="O921" s="92"/>
      <c r="P921" s="92"/>
      <c r="Q921" s="92"/>
      <c r="R921" s="92"/>
      <c r="S921" s="92"/>
      <c r="T921" s="92"/>
      <c r="U921" s="92"/>
      <c r="V921" s="92"/>
      <c r="W921" s="92"/>
      <c r="X921" s="92"/>
      <c r="Y921" s="92"/>
      <c r="Z921" s="92"/>
    </row>
    <row r="922" spans="1:26" hidden="1">
      <c r="A922" s="92"/>
      <c r="B922" s="92"/>
      <c r="C922" s="92"/>
      <c r="D922" s="92"/>
      <c r="E922" s="92"/>
      <c r="F922" s="92"/>
      <c r="G922" s="92"/>
      <c r="H922" s="92"/>
      <c r="I922" s="92"/>
      <c r="J922" s="92"/>
      <c r="K922" s="92"/>
      <c r="L922" s="92"/>
      <c r="M922" s="92"/>
      <c r="N922" s="92"/>
      <c r="O922" s="92"/>
      <c r="P922" s="92"/>
      <c r="Q922" s="92"/>
      <c r="R922" s="92"/>
      <c r="S922" s="92"/>
      <c r="T922" s="92"/>
      <c r="U922" s="92"/>
      <c r="V922" s="92"/>
      <c r="W922" s="92"/>
      <c r="X922" s="92"/>
      <c r="Y922" s="92"/>
      <c r="Z922" s="92"/>
    </row>
    <row r="923" spans="1:26" hidden="1">
      <c r="A923" s="92"/>
      <c r="B923" s="92"/>
      <c r="C923" s="92"/>
      <c r="D923" s="92"/>
      <c r="E923" s="92"/>
      <c r="F923" s="92"/>
      <c r="G923" s="92"/>
      <c r="H923" s="92"/>
      <c r="I923" s="92"/>
      <c r="J923" s="92"/>
      <c r="K923" s="92"/>
      <c r="L923" s="92"/>
      <c r="M923" s="92"/>
      <c r="N923" s="92"/>
      <c r="O923" s="92"/>
      <c r="P923" s="92"/>
      <c r="Q923" s="92"/>
      <c r="R923" s="92"/>
      <c r="S923" s="92"/>
      <c r="T923" s="92"/>
      <c r="U923" s="92"/>
      <c r="V923" s="92"/>
      <c r="W923" s="92"/>
      <c r="X923" s="92"/>
      <c r="Y923" s="92"/>
      <c r="Z923" s="92"/>
    </row>
    <row r="924" spans="1:26" hidden="1">
      <c r="A924" s="92"/>
      <c r="B924" s="92"/>
      <c r="C924" s="92"/>
      <c r="D924" s="92"/>
      <c r="E924" s="92"/>
      <c r="F924" s="92"/>
      <c r="G924" s="92"/>
      <c r="H924" s="92"/>
      <c r="I924" s="92"/>
      <c r="J924" s="92"/>
      <c r="K924" s="92"/>
      <c r="L924" s="92"/>
      <c r="M924" s="92"/>
      <c r="N924" s="92"/>
      <c r="O924" s="92"/>
      <c r="P924" s="92"/>
      <c r="Q924" s="92"/>
      <c r="R924" s="92"/>
      <c r="S924" s="92"/>
      <c r="T924" s="92"/>
      <c r="U924" s="92"/>
      <c r="V924" s="92"/>
      <c r="W924" s="92"/>
      <c r="X924" s="92"/>
      <c r="Y924" s="92"/>
      <c r="Z924" s="92"/>
    </row>
    <row r="925" spans="1:26" hidden="1">
      <c r="A925" s="92"/>
      <c r="B925" s="92"/>
      <c r="C925" s="92"/>
      <c r="D925" s="92"/>
      <c r="E925" s="92"/>
      <c r="F925" s="92"/>
      <c r="G925" s="92"/>
      <c r="H925" s="92"/>
      <c r="I925" s="92"/>
      <c r="J925" s="92"/>
      <c r="K925" s="92"/>
      <c r="L925" s="92"/>
      <c r="M925" s="92"/>
      <c r="N925" s="92"/>
      <c r="O925" s="92"/>
      <c r="P925" s="92"/>
      <c r="Q925" s="92"/>
      <c r="R925" s="92"/>
      <c r="S925" s="92"/>
      <c r="T925" s="92"/>
      <c r="U925" s="92"/>
      <c r="V925" s="92"/>
      <c r="W925" s="92"/>
      <c r="X925" s="92"/>
      <c r="Y925" s="92"/>
      <c r="Z925" s="92"/>
    </row>
    <row r="926" spans="1:26" hidden="1">
      <c r="A926" s="92"/>
      <c r="B926" s="92"/>
      <c r="C926" s="92"/>
      <c r="D926" s="92"/>
      <c r="E926" s="92"/>
      <c r="F926" s="92"/>
      <c r="G926" s="92"/>
      <c r="H926" s="92"/>
      <c r="I926" s="92"/>
      <c r="J926" s="92"/>
      <c r="K926" s="92"/>
      <c r="L926" s="92"/>
      <c r="M926" s="92"/>
      <c r="N926" s="92"/>
      <c r="O926" s="92"/>
      <c r="P926" s="92"/>
      <c r="Q926" s="92"/>
      <c r="R926" s="92"/>
      <c r="S926" s="92"/>
      <c r="T926" s="92"/>
      <c r="U926" s="92"/>
      <c r="V926" s="92"/>
      <c r="W926" s="92"/>
      <c r="X926" s="92"/>
      <c r="Y926" s="92"/>
      <c r="Z926" s="92"/>
    </row>
    <row r="927" spans="1:26" hidden="1">
      <c r="A927" s="92"/>
      <c r="B927" s="92"/>
      <c r="C927" s="92"/>
      <c r="D927" s="92"/>
      <c r="E927" s="92"/>
      <c r="F927" s="92"/>
      <c r="G927" s="92"/>
      <c r="H927" s="92"/>
      <c r="I927" s="92"/>
      <c r="J927" s="92"/>
      <c r="K927" s="92"/>
      <c r="L927" s="92"/>
      <c r="M927" s="92"/>
      <c r="N927" s="92"/>
      <c r="O927" s="92"/>
      <c r="P927" s="92"/>
      <c r="Q927" s="92"/>
      <c r="R927" s="92"/>
      <c r="S927" s="92"/>
      <c r="T927" s="92"/>
      <c r="U927" s="92"/>
      <c r="V927" s="92"/>
      <c r="W927" s="92"/>
      <c r="X927" s="92"/>
      <c r="Y927" s="92"/>
      <c r="Z927" s="92"/>
    </row>
    <row r="928" spans="1:26" hidden="1">
      <c r="A928" s="92"/>
      <c r="B928" s="92"/>
      <c r="C928" s="92"/>
      <c r="D928" s="92"/>
      <c r="E928" s="92"/>
      <c r="F928" s="92"/>
      <c r="G928" s="92"/>
      <c r="H928" s="92"/>
      <c r="I928" s="92"/>
      <c r="J928" s="92"/>
      <c r="K928" s="92"/>
      <c r="L928" s="92"/>
      <c r="M928" s="92"/>
      <c r="N928" s="92"/>
      <c r="O928" s="92"/>
      <c r="P928" s="92"/>
      <c r="Q928" s="92"/>
      <c r="R928" s="92"/>
      <c r="S928" s="92"/>
      <c r="T928" s="92"/>
      <c r="U928" s="92"/>
      <c r="V928" s="92"/>
      <c r="W928" s="92"/>
      <c r="X928" s="92"/>
      <c r="Y928" s="92"/>
      <c r="Z928" s="92"/>
    </row>
    <row r="929" spans="1:26" hidden="1">
      <c r="A929" s="92"/>
      <c r="B929" s="92"/>
      <c r="C929" s="92"/>
      <c r="D929" s="92"/>
      <c r="E929" s="92"/>
      <c r="F929" s="92"/>
      <c r="G929" s="92"/>
      <c r="H929" s="92"/>
      <c r="I929" s="92"/>
      <c r="J929" s="92"/>
      <c r="K929" s="92"/>
      <c r="L929" s="92"/>
      <c r="M929" s="92"/>
      <c r="N929" s="92"/>
      <c r="O929" s="92"/>
      <c r="P929" s="92"/>
      <c r="Q929" s="92"/>
      <c r="R929" s="92"/>
      <c r="S929" s="92"/>
      <c r="T929" s="92"/>
      <c r="U929" s="92"/>
      <c r="V929" s="92"/>
      <c r="W929" s="92"/>
      <c r="X929" s="92"/>
      <c r="Y929" s="92"/>
      <c r="Z929" s="92"/>
    </row>
    <row r="930" spans="1:26" hidden="1">
      <c r="A930" s="92"/>
      <c r="B930" s="92"/>
      <c r="C930" s="92"/>
      <c r="D930" s="92"/>
      <c r="E930" s="92"/>
      <c r="F930" s="92"/>
      <c r="G930" s="92"/>
      <c r="H930" s="92"/>
      <c r="I930" s="92"/>
      <c r="J930" s="92"/>
      <c r="K930" s="92"/>
      <c r="L930" s="92"/>
      <c r="M930" s="92"/>
      <c r="N930" s="92"/>
      <c r="O930" s="92"/>
      <c r="P930" s="92"/>
      <c r="Q930" s="92"/>
      <c r="R930" s="92"/>
      <c r="S930" s="92"/>
      <c r="T930" s="92"/>
      <c r="U930" s="92"/>
      <c r="V930" s="92"/>
      <c r="W930" s="92"/>
      <c r="X930" s="92"/>
      <c r="Y930" s="92"/>
      <c r="Z930" s="92"/>
    </row>
    <row r="931" spans="1:26" hidden="1">
      <c r="A931" s="92"/>
      <c r="B931" s="92"/>
      <c r="C931" s="92"/>
      <c r="D931" s="92"/>
      <c r="E931" s="92"/>
      <c r="F931" s="92"/>
      <c r="G931" s="92"/>
      <c r="H931" s="92"/>
      <c r="I931" s="92"/>
      <c r="J931" s="92"/>
      <c r="K931" s="92"/>
      <c r="L931" s="92"/>
      <c r="M931" s="92"/>
      <c r="N931" s="92"/>
      <c r="O931" s="92"/>
      <c r="P931" s="92"/>
      <c r="Q931" s="92"/>
      <c r="R931" s="92"/>
      <c r="S931" s="92"/>
      <c r="T931" s="92"/>
      <c r="U931" s="92"/>
      <c r="V931" s="92"/>
      <c r="W931" s="92"/>
      <c r="X931" s="92"/>
      <c r="Y931" s="92"/>
      <c r="Z931" s="92"/>
    </row>
    <row r="932" spans="1:26" hidden="1">
      <c r="A932" s="92"/>
      <c r="B932" s="92"/>
      <c r="C932" s="92"/>
      <c r="D932" s="92"/>
      <c r="E932" s="92"/>
      <c r="F932" s="92"/>
      <c r="G932" s="92"/>
      <c r="H932" s="92"/>
      <c r="I932" s="92"/>
      <c r="J932" s="92"/>
      <c r="K932" s="92"/>
      <c r="L932" s="92"/>
      <c r="M932" s="92"/>
      <c r="N932" s="92"/>
      <c r="O932" s="92"/>
      <c r="P932" s="92"/>
      <c r="Q932" s="92"/>
      <c r="R932" s="92"/>
      <c r="S932" s="92"/>
      <c r="T932" s="92"/>
      <c r="U932" s="92"/>
      <c r="V932" s="92"/>
      <c r="W932" s="92"/>
      <c r="X932" s="92"/>
      <c r="Y932" s="92"/>
      <c r="Z932" s="92"/>
    </row>
    <row r="933" spans="1:26" hidden="1">
      <c r="A933" s="92"/>
      <c r="B933" s="92"/>
      <c r="C933" s="92"/>
      <c r="D933" s="92"/>
      <c r="E933" s="92"/>
      <c r="F933" s="92"/>
      <c r="G933" s="92"/>
      <c r="H933" s="92"/>
      <c r="I933" s="92"/>
      <c r="J933" s="92"/>
      <c r="K933" s="92"/>
      <c r="L933" s="92"/>
      <c r="M933" s="92"/>
      <c r="N933" s="92"/>
      <c r="O933" s="92"/>
      <c r="P933" s="92"/>
      <c r="Q933" s="92"/>
      <c r="R933" s="92"/>
      <c r="S933" s="92"/>
      <c r="T933" s="92"/>
      <c r="U933" s="92"/>
      <c r="V933" s="92"/>
      <c r="W933" s="92"/>
      <c r="X933" s="92"/>
      <c r="Y933" s="92"/>
      <c r="Z933" s="92"/>
    </row>
    <row r="934" spans="1:26" hidden="1">
      <c r="A934" s="92"/>
      <c r="B934" s="92"/>
      <c r="C934" s="92"/>
      <c r="D934" s="92"/>
      <c r="E934" s="92"/>
      <c r="F934" s="92"/>
      <c r="G934" s="92"/>
      <c r="H934" s="92"/>
      <c r="I934" s="92"/>
      <c r="J934" s="92"/>
      <c r="K934" s="92"/>
      <c r="L934" s="92"/>
      <c r="M934" s="92"/>
      <c r="N934" s="92"/>
      <c r="O934" s="92"/>
      <c r="P934" s="92"/>
      <c r="Q934" s="92"/>
      <c r="R934" s="92"/>
      <c r="S934" s="92"/>
      <c r="T934" s="92"/>
      <c r="U934" s="92"/>
      <c r="V934" s="92"/>
      <c r="W934" s="92"/>
      <c r="X934" s="92"/>
      <c r="Y934" s="92"/>
      <c r="Z934" s="92"/>
    </row>
    <row r="935" spans="1:26" hidden="1">
      <c r="A935" s="92"/>
      <c r="B935" s="92"/>
      <c r="C935" s="92"/>
      <c r="D935" s="92"/>
      <c r="E935" s="92"/>
      <c r="F935" s="92"/>
      <c r="G935" s="92"/>
      <c r="H935" s="92"/>
      <c r="I935" s="92"/>
      <c r="J935" s="92"/>
      <c r="K935" s="92"/>
      <c r="L935" s="92"/>
      <c r="M935" s="92"/>
      <c r="N935" s="92"/>
      <c r="O935" s="92"/>
      <c r="P935" s="92"/>
      <c r="Q935" s="92"/>
      <c r="R935" s="92"/>
      <c r="S935" s="92"/>
      <c r="T935" s="92"/>
      <c r="U935" s="92"/>
      <c r="V935" s="92"/>
      <c r="W935" s="92"/>
      <c r="X935" s="92"/>
      <c r="Y935" s="92"/>
      <c r="Z935" s="92"/>
    </row>
    <row r="936" spans="1:26" hidden="1">
      <c r="A936" s="92"/>
      <c r="B936" s="92"/>
      <c r="C936" s="92"/>
      <c r="D936" s="92"/>
      <c r="E936" s="92"/>
      <c r="F936" s="92"/>
      <c r="G936" s="92"/>
      <c r="H936" s="92"/>
      <c r="I936" s="92"/>
      <c r="J936" s="92"/>
      <c r="K936" s="92"/>
      <c r="L936" s="92"/>
      <c r="M936" s="92"/>
      <c r="N936" s="92"/>
      <c r="O936" s="92"/>
      <c r="P936" s="92"/>
      <c r="Q936" s="92"/>
      <c r="R936" s="92"/>
      <c r="S936" s="92"/>
      <c r="T936" s="92"/>
      <c r="U936" s="92"/>
      <c r="V936" s="92"/>
      <c r="W936" s="92"/>
      <c r="X936" s="92"/>
      <c r="Y936" s="92"/>
      <c r="Z936" s="92"/>
    </row>
    <row r="937" spans="1:26" hidden="1">
      <c r="A937" s="92"/>
      <c r="B937" s="92"/>
      <c r="C937" s="92"/>
      <c r="D937" s="92"/>
      <c r="E937" s="92"/>
      <c r="F937" s="92"/>
      <c r="G937" s="92"/>
      <c r="H937" s="92"/>
      <c r="I937" s="92"/>
      <c r="J937" s="92"/>
      <c r="K937" s="92"/>
      <c r="L937" s="92"/>
      <c r="M937" s="92"/>
      <c r="N937" s="92"/>
      <c r="O937" s="92"/>
      <c r="P937" s="92"/>
      <c r="Q937" s="92"/>
      <c r="R937" s="92"/>
      <c r="S937" s="92"/>
      <c r="T937" s="92"/>
      <c r="U937" s="92"/>
      <c r="V937" s="92"/>
      <c r="W937" s="92"/>
      <c r="X937" s="92"/>
      <c r="Y937" s="92"/>
      <c r="Z937" s="92"/>
    </row>
    <row r="938" spans="1:26" hidden="1">
      <c r="A938" s="92"/>
      <c r="B938" s="92"/>
      <c r="C938" s="92"/>
      <c r="D938" s="92"/>
      <c r="E938" s="92"/>
      <c r="F938" s="92"/>
      <c r="G938" s="92"/>
      <c r="H938" s="92"/>
      <c r="I938" s="92"/>
      <c r="J938" s="92"/>
      <c r="K938" s="92"/>
      <c r="L938" s="92"/>
      <c r="M938" s="92"/>
      <c r="N938" s="92"/>
      <c r="O938" s="92"/>
      <c r="P938" s="92"/>
      <c r="Q938" s="92"/>
      <c r="R938" s="92"/>
      <c r="S938" s="92"/>
      <c r="T938" s="92"/>
      <c r="U938" s="92"/>
      <c r="V938" s="92"/>
      <c r="W938" s="92"/>
      <c r="X938" s="92"/>
      <c r="Y938" s="92"/>
      <c r="Z938" s="92"/>
    </row>
    <row r="939" spans="1:26" hidden="1">
      <c r="A939" s="92"/>
      <c r="B939" s="92"/>
      <c r="C939" s="92"/>
      <c r="D939" s="92"/>
      <c r="E939" s="92"/>
      <c r="F939" s="92"/>
      <c r="G939" s="92"/>
      <c r="H939" s="92"/>
      <c r="I939" s="92"/>
      <c r="J939" s="92"/>
      <c r="K939" s="92"/>
      <c r="L939" s="92"/>
      <c r="M939" s="92"/>
      <c r="N939" s="92"/>
      <c r="O939" s="92"/>
      <c r="P939" s="92"/>
      <c r="Q939" s="92"/>
      <c r="R939" s="92"/>
      <c r="S939" s="92"/>
      <c r="T939" s="92"/>
      <c r="U939" s="92"/>
      <c r="V939" s="92"/>
      <c r="W939" s="92"/>
      <c r="X939" s="92"/>
      <c r="Y939" s="92"/>
      <c r="Z939" s="92"/>
    </row>
    <row r="940" spans="1:26" hidden="1">
      <c r="A940" s="92"/>
      <c r="B940" s="92"/>
      <c r="C940" s="92"/>
      <c r="D940" s="92"/>
      <c r="E940" s="92"/>
      <c r="F940" s="92"/>
      <c r="G940" s="92"/>
      <c r="H940" s="92"/>
      <c r="I940" s="92"/>
      <c r="J940" s="92"/>
      <c r="K940" s="92"/>
      <c r="L940" s="92"/>
      <c r="M940" s="92"/>
      <c r="N940" s="92"/>
      <c r="O940" s="92"/>
      <c r="P940" s="92"/>
      <c r="Q940" s="92"/>
      <c r="R940" s="92"/>
      <c r="S940" s="92"/>
      <c r="T940" s="92"/>
      <c r="U940" s="92"/>
      <c r="V940" s="92"/>
      <c r="W940" s="92"/>
      <c r="X940" s="92"/>
      <c r="Y940" s="92"/>
      <c r="Z940" s="92"/>
    </row>
    <row r="941" spans="1:26" hidden="1">
      <c r="A941" s="92"/>
      <c r="B941" s="92"/>
      <c r="C941" s="92"/>
      <c r="D941" s="92"/>
      <c r="E941" s="92"/>
      <c r="F941" s="92"/>
      <c r="G941" s="92"/>
      <c r="H941" s="92"/>
      <c r="I941" s="92"/>
      <c r="J941" s="92"/>
      <c r="K941" s="92"/>
      <c r="L941" s="92"/>
      <c r="M941" s="92"/>
      <c r="N941" s="92"/>
      <c r="O941" s="92"/>
      <c r="P941" s="92"/>
      <c r="Q941" s="92"/>
      <c r="R941" s="92"/>
      <c r="S941" s="92"/>
      <c r="T941" s="92"/>
      <c r="U941" s="92"/>
      <c r="V941" s="92"/>
      <c r="W941" s="92"/>
      <c r="X941" s="92"/>
      <c r="Y941" s="92"/>
      <c r="Z941" s="92"/>
    </row>
    <row r="942" spans="1:26" hidden="1">
      <c r="A942" s="92"/>
      <c r="B942" s="92"/>
      <c r="C942" s="92"/>
      <c r="D942" s="92"/>
      <c r="E942" s="92"/>
      <c r="F942" s="92"/>
      <c r="G942" s="92"/>
      <c r="H942" s="92"/>
      <c r="I942" s="92"/>
      <c r="J942" s="92"/>
      <c r="K942" s="92"/>
      <c r="L942" s="92"/>
      <c r="M942" s="92"/>
      <c r="N942" s="92"/>
      <c r="O942" s="92"/>
      <c r="P942" s="92"/>
      <c r="Q942" s="92"/>
      <c r="R942" s="92"/>
      <c r="S942" s="92"/>
      <c r="T942" s="92"/>
      <c r="U942" s="92"/>
      <c r="V942" s="92"/>
      <c r="W942" s="92"/>
      <c r="X942" s="92"/>
      <c r="Y942" s="92"/>
      <c r="Z942" s="92"/>
    </row>
    <row r="943" spans="1:26" hidden="1">
      <c r="A943" s="92"/>
      <c r="B943" s="92"/>
      <c r="C943" s="92"/>
      <c r="D943" s="92"/>
      <c r="E943" s="92"/>
      <c r="F943" s="92"/>
      <c r="G943" s="92"/>
      <c r="H943" s="92"/>
      <c r="I943" s="92"/>
      <c r="J943" s="92"/>
      <c r="K943" s="92"/>
      <c r="L943" s="92"/>
      <c r="M943" s="92"/>
      <c r="N943" s="92"/>
      <c r="O943" s="92"/>
      <c r="P943" s="92"/>
      <c r="Q943" s="92"/>
      <c r="R943" s="92"/>
      <c r="S943" s="92"/>
      <c r="T943" s="92"/>
      <c r="U943" s="92"/>
      <c r="V943" s="92"/>
      <c r="W943" s="92"/>
      <c r="X943" s="92"/>
      <c r="Y943" s="92"/>
      <c r="Z943" s="92"/>
    </row>
    <row r="944" spans="1:26" hidden="1">
      <c r="A944" s="92"/>
      <c r="B944" s="92"/>
      <c r="C944" s="92"/>
      <c r="D944" s="92"/>
      <c r="E944" s="92"/>
      <c r="F944" s="92"/>
      <c r="G944" s="92"/>
      <c r="H944" s="92"/>
      <c r="I944" s="92"/>
      <c r="J944" s="92"/>
      <c r="K944" s="92"/>
      <c r="L944" s="92"/>
      <c r="M944" s="92"/>
      <c r="N944" s="92"/>
      <c r="O944" s="92"/>
      <c r="P944" s="92"/>
      <c r="Q944" s="92"/>
      <c r="R944" s="92"/>
      <c r="S944" s="92"/>
      <c r="T944" s="92"/>
      <c r="U944" s="92"/>
      <c r="V944" s="92"/>
      <c r="W944" s="92"/>
      <c r="X944" s="92"/>
      <c r="Y944" s="92"/>
      <c r="Z944" s="92"/>
    </row>
    <row r="945" spans="1:26" hidden="1">
      <c r="A945" s="92"/>
      <c r="B945" s="92"/>
      <c r="C945" s="92"/>
      <c r="D945" s="92"/>
      <c r="E945" s="92"/>
      <c r="F945" s="92"/>
      <c r="G945" s="92"/>
      <c r="H945" s="92"/>
      <c r="I945" s="92"/>
      <c r="J945" s="92"/>
      <c r="K945" s="92"/>
      <c r="L945" s="92"/>
      <c r="M945" s="92"/>
      <c r="N945" s="92"/>
      <c r="O945" s="92"/>
      <c r="P945" s="92"/>
      <c r="Q945" s="92"/>
      <c r="R945" s="92"/>
      <c r="S945" s="92"/>
      <c r="T945" s="92"/>
      <c r="U945" s="92"/>
      <c r="V945" s="92"/>
      <c r="W945" s="92"/>
      <c r="X945" s="92"/>
      <c r="Y945" s="92"/>
      <c r="Z945" s="92"/>
    </row>
    <row r="946" spans="1:26" hidden="1">
      <c r="A946" s="92"/>
      <c r="B946" s="92"/>
      <c r="C946" s="92"/>
      <c r="D946" s="92"/>
      <c r="E946" s="92"/>
      <c r="F946" s="92"/>
      <c r="G946" s="92"/>
      <c r="H946" s="92"/>
      <c r="I946" s="92"/>
      <c r="J946" s="92"/>
      <c r="K946" s="92"/>
      <c r="L946" s="92"/>
      <c r="M946" s="92"/>
      <c r="N946" s="92"/>
      <c r="O946" s="92"/>
      <c r="P946" s="92"/>
      <c r="Q946" s="92"/>
      <c r="R946" s="92"/>
      <c r="S946" s="92"/>
      <c r="T946" s="92"/>
      <c r="U946" s="92"/>
      <c r="V946" s="92"/>
      <c r="W946" s="92"/>
      <c r="X946" s="92"/>
      <c r="Y946" s="92"/>
      <c r="Z946" s="92"/>
    </row>
    <row r="947" spans="1:26" hidden="1">
      <c r="A947" s="92"/>
      <c r="B947" s="92"/>
      <c r="C947" s="92"/>
      <c r="D947" s="92"/>
      <c r="E947" s="92"/>
      <c r="F947" s="92"/>
      <c r="G947" s="92"/>
      <c r="H947" s="92"/>
      <c r="I947" s="92"/>
      <c r="J947" s="92"/>
      <c r="K947" s="92"/>
      <c r="L947" s="92"/>
      <c r="M947" s="92"/>
      <c r="N947" s="92"/>
      <c r="O947" s="92"/>
      <c r="P947" s="92"/>
      <c r="Q947" s="92"/>
      <c r="R947" s="92"/>
      <c r="S947" s="92"/>
      <c r="T947" s="92"/>
      <c r="U947" s="92"/>
      <c r="V947" s="92"/>
      <c r="W947" s="92"/>
      <c r="X947" s="92"/>
      <c r="Y947" s="92"/>
      <c r="Z947" s="92"/>
    </row>
    <row r="948" spans="1:26" hidden="1">
      <c r="A948" s="92"/>
      <c r="B948" s="92"/>
      <c r="C948" s="92"/>
      <c r="D948" s="92"/>
      <c r="E948" s="92"/>
      <c r="F948" s="92"/>
      <c r="G948" s="92"/>
      <c r="H948" s="92"/>
      <c r="I948" s="92"/>
      <c r="J948" s="92"/>
      <c r="K948" s="92"/>
      <c r="L948" s="92"/>
      <c r="M948" s="92"/>
      <c r="N948" s="92"/>
      <c r="O948" s="92"/>
      <c r="P948" s="92"/>
      <c r="Q948" s="92"/>
      <c r="R948" s="92"/>
      <c r="S948" s="92"/>
      <c r="T948" s="92"/>
      <c r="U948" s="92"/>
      <c r="V948" s="92"/>
      <c r="W948" s="92"/>
      <c r="X948" s="92"/>
      <c r="Y948" s="92"/>
      <c r="Z948" s="92"/>
    </row>
    <row r="949" spans="1:26" hidden="1">
      <c r="A949" s="92"/>
      <c r="B949" s="92"/>
      <c r="C949" s="92"/>
      <c r="D949" s="92"/>
      <c r="E949" s="92"/>
      <c r="F949" s="92"/>
      <c r="G949" s="92"/>
      <c r="H949" s="92"/>
      <c r="I949" s="92"/>
      <c r="J949" s="92"/>
      <c r="K949" s="92"/>
      <c r="L949" s="92"/>
      <c r="M949" s="92"/>
      <c r="N949" s="92"/>
      <c r="O949" s="92"/>
      <c r="P949" s="92"/>
      <c r="Q949" s="92"/>
      <c r="R949" s="92"/>
      <c r="S949" s="92"/>
      <c r="T949" s="92"/>
      <c r="U949" s="92"/>
      <c r="V949" s="92"/>
      <c r="W949" s="92"/>
      <c r="X949" s="92"/>
      <c r="Y949" s="92"/>
      <c r="Z949" s="92"/>
    </row>
    <row r="950" spans="1:26" hidden="1">
      <c r="A950" s="92"/>
      <c r="B950" s="92"/>
      <c r="C950" s="92"/>
      <c r="D950" s="92"/>
      <c r="E950" s="92"/>
      <c r="F950" s="92"/>
      <c r="G950" s="92"/>
      <c r="H950" s="92"/>
      <c r="I950" s="92"/>
      <c r="J950" s="92"/>
      <c r="K950" s="92"/>
      <c r="L950" s="92"/>
      <c r="M950" s="92"/>
      <c r="N950" s="92"/>
      <c r="O950" s="92"/>
      <c r="P950" s="92"/>
      <c r="Q950" s="92"/>
      <c r="R950" s="92"/>
      <c r="S950" s="92"/>
      <c r="T950" s="92"/>
      <c r="U950" s="92"/>
      <c r="V950" s="92"/>
      <c r="W950" s="92"/>
      <c r="X950" s="92"/>
      <c r="Y950" s="92"/>
      <c r="Z950" s="92"/>
    </row>
    <row r="951" spans="1:26" hidden="1">
      <c r="A951" s="92"/>
      <c r="B951" s="92"/>
      <c r="C951" s="92"/>
      <c r="D951" s="92"/>
      <c r="E951" s="92"/>
      <c r="F951" s="92"/>
      <c r="G951" s="92"/>
      <c r="H951" s="92"/>
      <c r="I951" s="92"/>
      <c r="J951" s="92"/>
      <c r="K951" s="92"/>
      <c r="L951" s="92"/>
      <c r="M951" s="92"/>
      <c r="N951" s="92"/>
      <c r="O951" s="92"/>
      <c r="P951" s="92"/>
      <c r="Q951" s="92"/>
      <c r="R951" s="92"/>
      <c r="S951" s="92"/>
      <c r="T951" s="92"/>
      <c r="U951" s="92"/>
      <c r="V951" s="92"/>
      <c r="W951" s="92"/>
      <c r="X951" s="92"/>
      <c r="Y951" s="92"/>
      <c r="Z951" s="92"/>
    </row>
    <row r="952" spans="1:26" hidden="1">
      <c r="A952" s="92"/>
      <c r="B952" s="92"/>
      <c r="C952" s="92"/>
      <c r="D952" s="92"/>
      <c r="E952" s="92"/>
      <c r="F952" s="92"/>
      <c r="G952" s="92"/>
      <c r="H952" s="92"/>
      <c r="I952" s="92"/>
      <c r="J952" s="92"/>
      <c r="K952" s="92"/>
      <c r="L952" s="92"/>
      <c r="M952" s="92"/>
      <c r="N952" s="92"/>
      <c r="O952" s="92"/>
      <c r="P952" s="92"/>
      <c r="Q952" s="92"/>
      <c r="R952" s="92"/>
      <c r="S952" s="92"/>
      <c r="T952" s="92"/>
      <c r="U952" s="92"/>
      <c r="V952" s="92"/>
      <c r="W952" s="92"/>
      <c r="X952" s="92"/>
      <c r="Y952" s="92"/>
      <c r="Z952" s="92"/>
    </row>
    <row r="953" spans="1:26" hidden="1">
      <c r="A953" s="92"/>
      <c r="B953" s="92"/>
      <c r="C953" s="92"/>
      <c r="D953" s="92"/>
      <c r="E953" s="92"/>
      <c r="F953" s="92"/>
      <c r="G953" s="92"/>
      <c r="H953" s="92"/>
      <c r="I953" s="92"/>
      <c r="J953" s="92"/>
      <c r="K953" s="92"/>
      <c r="L953" s="92"/>
      <c r="M953" s="92"/>
      <c r="N953" s="92"/>
      <c r="O953" s="92"/>
      <c r="P953" s="92"/>
      <c r="Q953" s="92"/>
      <c r="R953" s="92"/>
      <c r="S953" s="92"/>
      <c r="T953" s="92"/>
      <c r="U953" s="92"/>
      <c r="V953" s="92"/>
      <c r="W953" s="92"/>
      <c r="X953" s="92"/>
      <c r="Y953" s="92"/>
      <c r="Z953" s="92"/>
    </row>
    <row r="954" spans="1:26" hidden="1">
      <c r="A954" s="92"/>
      <c r="B954" s="92"/>
      <c r="C954" s="92"/>
      <c r="D954" s="92"/>
      <c r="E954" s="92"/>
      <c r="F954" s="92"/>
      <c r="G954" s="92"/>
      <c r="H954" s="92"/>
      <c r="I954" s="92"/>
      <c r="J954" s="92"/>
      <c r="K954" s="92"/>
      <c r="L954" s="92"/>
      <c r="M954" s="92"/>
      <c r="N954" s="92"/>
      <c r="O954" s="92"/>
      <c r="P954" s="92"/>
      <c r="Q954" s="92"/>
      <c r="R954" s="92"/>
      <c r="S954" s="92"/>
      <c r="T954" s="92"/>
      <c r="U954" s="92"/>
      <c r="V954" s="92"/>
      <c r="W954" s="92"/>
      <c r="X954" s="92"/>
      <c r="Y954" s="92"/>
      <c r="Z954" s="92"/>
    </row>
    <row r="955" spans="1:26" hidden="1">
      <c r="A955" s="92"/>
      <c r="B955" s="92"/>
      <c r="C955" s="92"/>
      <c r="D955" s="92"/>
      <c r="E955" s="92"/>
      <c r="F955" s="92"/>
      <c r="G955" s="92"/>
      <c r="H955" s="92"/>
      <c r="I955" s="92"/>
      <c r="J955" s="92"/>
      <c r="K955" s="92"/>
      <c r="L955" s="92"/>
      <c r="M955" s="92"/>
      <c r="N955" s="92"/>
      <c r="O955" s="92"/>
      <c r="P955" s="92"/>
      <c r="Q955" s="92"/>
      <c r="R955" s="92"/>
      <c r="S955" s="92"/>
      <c r="T955" s="92"/>
      <c r="U955" s="92"/>
      <c r="V955" s="92"/>
      <c r="W955" s="92"/>
      <c r="X955" s="92"/>
      <c r="Y955" s="92"/>
      <c r="Z955" s="92"/>
    </row>
    <row r="956" spans="1:26" hidden="1">
      <c r="A956" s="92"/>
      <c r="B956" s="92"/>
      <c r="C956" s="92"/>
      <c r="D956" s="92"/>
      <c r="E956" s="92"/>
      <c r="F956" s="92"/>
      <c r="G956" s="92"/>
      <c r="H956" s="92"/>
      <c r="I956" s="92"/>
      <c r="J956" s="92"/>
      <c r="K956" s="92"/>
      <c r="L956" s="92"/>
      <c r="M956" s="92"/>
      <c r="N956" s="92"/>
      <c r="O956" s="92"/>
      <c r="P956" s="92"/>
      <c r="Q956" s="92"/>
      <c r="R956" s="92"/>
      <c r="S956" s="92"/>
      <c r="T956" s="92"/>
      <c r="U956" s="92"/>
      <c r="V956" s="92"/>
      <c r="W956" s="92"/>
      <c r="X956" s="92"/>
      <c r="Y956" s="92"/>
      <c r="Z956" s="92"/>
    </row>
    <row r="957" spans="1:26" hidden="1">
      <c r="A957" s="92"/>
      <c r="B957" s="92"/>
      <c r="C957" s="92"/>
      <c r="D957" s="92"/>
      <c r="E957" s="92"/>
      <c r="F957" s="92"/>
      <c r="G957" s="92"/>
      <c r="H957" s="92"/>
      <c r="I957" s="92"/>
      <c r="J957" s="92"/>
      <c r="K957" s="92"/>
      <c r="L957" s="92"/>
      <c r="M957" s="92"/>
      <c r="N957" s="92"/>
      <c r="O957" s="92"/>
      <c r="P957" s="92"/>
      <c r="Q957" s="92"/>
      <c r="R957" s="92"/>
      <c r="S957" s="92"/>
      <c r="T957" s="92"/>
      <c r="U957" s="92"/>
      <c r="V957" s="92"/>
      <c r="W957" s="92"/>
      <c r="X957" s="92"/>
      <c r="Y957" s="92"/>
      <c r="Z957" s="92"/>
    </row>
    <row r="958" spans="1:26" hidden="1">
      <c r="A958" s="92"/>
      <c r="B958" s="92"/>
      <c r="C958" s="92"/>
      <c r="D958" s="92"/>
      <c r="E958" s="92"/>
      <c r="F958" s="92"/>
      <c r="G958" s="92"/>
      <c r="H958" s="92"/>
      <c r="I958" s="92"/>
      <c r="J958" s="92"/>
      <c r="K958" s="92"/>
      <c r="L958" s="92"/>
      <c r="M958" s="92"/>
      <c r="N958" s="92"/>
      <c r="O958" s="92"/>
      <c r="P958" s="92"/>
      <c r="Q958" s="92"/>
      <c r="R958" s="92"/>
      <c r="S958" s="92"/>
      <c r="T958" s="92"/>
      <c r="U958" s="92"/>
      <c r="V958" s="92"/>
      <c r="W958" s="92"/>
      <c r="X958" s="92"/>
      <c r="Y958" s="92"/>
      <c r="Z958" s="92"/>
    </row>
    <row r="959" spans="1:26" hidden="1">
      <c r="A959" s="92"/>
      <c r="B959" s="92"/>
      <c r="C959" s="92"/>
      <c r="D959" s="92"/>
      <c r="E959" s="92"/>
      <c r="F959" s="92"/>
      <c r="G959" s="92"/>
      <c r="H959" s="92"/>
      <c r="I959" s="92"/>
      <c r="J959" s="92"/>
      <c r="K959" s="92"/>
      <c r="L959" s="92"/>
      <c r="M959" s="92"/>
      <c r="N959" s="92"/>
      <c r="O959" s="92"/>
      <c r="P959" s="92"/>
      <c r="Q959" s="92"/>
      <c r="R959" s="92"/>
      <c r="S959" s="92"/>
      <c r="T959" s="92"/>
      <c r="U959" s="92"/>
      <c r="V959" s="92"/>
      <c r="W959" s="92"/>
      <c r="X959" s="92"/>
      <c r="Y959" s="92"/>
      <c r="Z959" s="92"/>
    </row>
    <row r="960" spans="1:26" hidden="1">
      <c r="A960" s="92"/>
      <c r="B960" s="92"/>
      <c r="C960" s="92"/>
      <c r="D960" s="92"/>
      <c r="E960" s="92"/>
      <c r="F960" s="92"/>
      <c r="G960" s="92"/>
      <c r="H960" s="92"/>
      <c r="I960" s="92"/>
      <c r="J960" s="92"/>
      <c r="K960" s="92"/>
      <c r="L960" s="92"/>
      <c r="M960" s="92"/>
      <c r="N960" s="92"/>
      <c r="O960" s="92"/>
      <c r="P960" s="92"/>
      <c r="Q960" s="92"/>
      <c r="R960" s="92"/>
      <c r="S960" s="92"/>
      <c r="T960" s="92"/>
      <c r="U960" s="92"/>
      <c r="V960" s="92"/>
      <c r="W960" s="92"/>
      <c r="X960" s="92"/>
      <c r="Y960" s="92"/>
      <c r="Z960" s="92"/>
    </row>
    <row r="961" spans="1:26" hidden="1">
      <c r="A961" s="92"/>
      <c r="B961" s="92"/>
      <c r="C961" s="92"/>
      <c r="D961" s="92"/>
      <c r="E961" s="92"/>
      <c r="F961" s="92"/>
      <c r="G961" s="92"/>
      <c r="H961" s="92"/>
      <c r="I961" s="92"/>
      <c r="J961" s="92"/>
      <c r="K961" s="92"/>
      <c r="L961" s="92"/>
      <c r="M961" s="92"/>
      <c r="N961" s="92"/>
      <c r="O961" s="92"/>
      <c r="P961" s="92"/>
      <c r="Q961" s="92"/>
      <c r="R961" s="92"/>
      <c r="S961" s="92"/>
      <c r="T961" s="92"/>
      <c r="U961" s="92"/>
      <c r="V961" s="92"/>
      <c r="W961" s="92"/>
      <c r="X961" s="92"/>
      <c r="Y961" s="92"/>
      <c r="Z961" s="92"/>
    </row>
    <row r="962" spans="1:26" hidden="1">
      <c r="A962" s="92"/>
      <c r="B962" s="92"/>
      <c r="C962" s="92"/>
      <c r="D962" s="92"/>
      <c r="E962" s="92"/>
      <c r="F962" s="92"/>
      <c r="G962" s="92"/>
      <c r="H962" s="92"/>
      <c r="I962" s="92"/>
      <c r="J962" s="92"/>
      <c r="K962" s="92"/>
      <c r="L962" s="92"/>
      <c r="M962" s="92"/>
      <c r="N962" s="92"/>
      <c r="O962" s="92"/>
      <c r="P962" s="92"/>
      <c r="Q962" s="92"/>
      <c r="R962" s="92"/>
      <c r="S962" s="92"/>
      <c r="T962" s="92"/>
      <c r="U962" s="92"/>
      <c r="V962" s="92"/>
      <c r="W962" s="92"/>
      <c r="X962" s="92"/>
      <c r="Y962" s="92"/>
      <c r="Z962" s="92"/>
    </row>
    <row r="963" spans="1:26" hidden="1">
      <c r="A963" s="92"/>
      <c r="B963" s="92"/>
      <c r="C963" s="92"/>
      <c r="D963" s="92"/>
      <c r="E963" s="92"/>
      <c r="F963" s="92"/>
      <c r="G963" s="92"/>
      <c r="H963" s="92"/>
      <c r="I963" s="92"/>
      <c r="J963" s="92"/>
      <c r="K963" s="92"/>
      <c r="L963" s="92"/>
      <c r="M963" s="92"/>
      <c r="N963" s="92"/>
      <c r="O963" s="92"/>
      <c r="P963" s="92"/>
      <c r="Q963" s="92"/>
      <c r="R963" s="92"/>
      <c r="S963" s="92"/>
      <c r="T963" s="92"/>
      <c r="U963" s="92"/>
      <c r="V963" s="92"/>
      <c r="W963" s="92"/>
      <c r="X963" s="92"/>
      <c r="Y963" s="92"/>
      <c r="Z963" s="92"/>
    </row>
    <row r="964" spans="1:26" hidden="1">
      <c r="A964" s="92"/>
      <c r="B964" s="92"/>
      <c r="C964" s="92"/>
      <c r="D964" s="92"/>
      <c r="E964" s="92"/>
      <c r="F964" s="92"/>
      <c r="G964" s="92"/>
      <c r="H964" s="92"/>
      <c r="I964" s="92"/>
      <c r="J964" s="92"/>
      <c r="K964" s="92"/>
      <c r="L964" s="92"/>
      <c r="M964" s="92"/>
      <c r="N964" s="92"/>
      <c r="O964" s="92"/>
      <c r="P964" s="92"/>
      <c r="Q964" s="92"/>
      <c r="R964" s="92"/>
      <c r="S964" s="92"/>
      <c r="T964" s="92"/>
      <c r="U964" s="92"/>
      <c r="V964" s="92"/>
      <c r="W964" s="92"/>
      <c r="X964" s="92"/>
      <c r="Y964" s="92"/>
      <c r="Z964" s="92"/>
    </row>
    <row r="965" spans="1:26" hidden="1">
      <c r="A965" s="92"/>
      <c r="B965" s="92"/>
      <c r="C965" s="92"/>
      <c r="D965" s="92"/>
      <c r="E965" s="92"/>
      <c r="F965" s="92"/>
      <c r="G965" s="92"/>
      <c r="H965" s="92"/>
      <c r="I965" s="92"/>
      <c r="J965" s="92"/>
      <c r="K965" s="92"/>
      <c r="L965" s="92"/>
      <c r="M965" s="92"/>
      <c r="N965" s="92"/>
      <c r="O965" s="92"/>
      <c r="P965" s="92"/>
      <c r="Q965" s="92"/>
      <c r="R965" s="92"/>
      <c r="S965" s="92"/>
      <c r="T965" s="92"/>
      <c r="U965" s="92"/>
      <c r="V965" s="92"/>
      <c r="W965" s="92"/>
      <c r="X965" s="92"/>
      <c r="Y965" s="92"/>
      <c r="Z965" s="92"/>
    </row>
    <row r="966" spans="1:26" hidden="1">
      <c r="A966" s="92"/>
      <c r="B966" s="92"/>
      <c r="C966" s="92"/>
      <c r="D966" s="92"/>
      <c r="E966" s="92"/>
      <c r="F966" s="92"/>
      <c r="G966" s="92"/>
      <c r="H966" s="92"/>
      <c r="I966" s="92"/>
      <c r="J966" s="92"/>
      <c r="K966" s="92"/>
      <c r="L966" s="92"/>
      <c r="M966" s="92"/>
      <c r="N966" s="92"/>
      <c r="O966" s="92"/>
      <c r="P966" s="92"/>
      <c r="Q966" s="92"/>
      <c r="R966" s="92"/>
      <c r="S966" s="92"/>
      <c r="T966" s="92"/>
      <c r="U966" s="92"/>
      <c r="V966" s="92"/>
      <c r="W966" s="92"/>
      <c r="X966" s="92"/>
      <c r="Y966" s="92"/>
      <c r="Z966" s="92"/>
    </row>
    <row r="967" spans="1:26" hidden="1">
      <c r="A967" s="92"/>
      <c r="B967" s="92"/>
      <c r="C967" s="92"/>
      <c r="D967" s="92"/>
      <c r="E967" s="92"/>
      <c r="F967" s="92"/>
      <c r="G967" s="92"/>
      <c r="H967" s="92"/>
      <c r="I967" s="92"/>
      <c r="J967" s="92"/>
      <c r="K967" s="92"/>
      <c r="L967" s="92"/>
      <c r="M967" s="92"/>
      <c r="N967" s="92"/>
      <c r="O967" s="92"/>
      <c r="P967" s="92"/>
      <c r="Q967" s="92"/>
      <c r="R967" s="92"/>
      <c r="S967" s="92"/>
      <c r="T967" s="92"/>
      <c r="U967" s="92"/>
      <c r="V967" s="92"/>
      <c r="W967" s="92"/>
      <c r="X967" s="92"/>
      <c r="Y967" s="92"/>
      <c r="Z967" s="92"/>
    </row>
    <row r="968" spans="1:26" hidden="1">
      <c r="A968" s="92"/>
      <c r="B968" s="92"/>
      <c r="C968" s="92"/>
      <c r="D968" s="92"/>
      <c r="E968" s="92"/>
      <c r="F968" s="92"/>
      <c r="G968" s="92"/>
      <c r="H968" s="92"/>
      <c r="I968" s="92"/>
      <c r="J968" s="92"/>
      <c r="K968" s="92"/>
      <c r="L968" s="92"/>
      <c r="M968" s="92"/>
      <c r="N968" s="92"/>
      <c r="O968" s="92"/>
      <c r="P968" s="92"/>
      <c r="Q968" s="92"/>
      <c r="R968" s="92"/>
      <c r="S968" s="92"/>
      <c r="T968" s="92"/>
      <c r="U968" s="92"/>
      <c r="V968" s="92"/>
      <c r="W968" s="92"/>
      <c r="X968" s="92"/>
      <c r="Y968" s="92"/>
      <c r="Z968" s="92"/>
    </row>
    <row r="969" spans="1:26" hidden="1">
      <c r="A969" s="92"/>
      <c r="B969" s="92"/>
      <c r="C969" s="92"/>
      <c r="D969" s="92"/>
      <c r="E969" s="92"/>
      <c r="F969" s="92"/>
      <c r="G969" s="92"/>
      <c r="H969" s="92"/>
      <c r="I969" s="92"/>
      <c r="J969" s="92"/>
      <c r="K969" s="92"/>
      <c r="L969" s="92"/>
      <c r="M969" s="92"/>
      <c r="N969" s="92"/>
      <c r="O969" s="92"/>
      <c r="P969" s="92"/>
      <c r="Q969" s="92"/>
      <c r="R969" s="92"/>
      <c r="S969" s="92"/>
      <c r="T969" s="92"/>
      <c r="U969" s="92"/>
      <c r="V969" s="92"/>
      <c r="W969" s="92"/>
      <c r="X969" s="92"/>
      <c r="Y969" s="92"/>
      <c r="Z969" s="92"/>
    </row>
    <row r="970" spans="1:26" hidden="1">
      <c r="A970" s="92"/>
      <c r="B970" s="92"/>
      <c r="C970" s="92"/>
      <c r="D970" s="92"/>
      <c r="E970" s="92"/>
      <c r="F970" s="92"/>
      <c r="G970" s="92"/>
      <c r="H970" s="92"/>
      <c r="I970" s="92"/>
      <c r="J970" s="92"/>
      <c r="K970" s="92"/>
      <c r="L970" s="92"/>
      <c r="M970" s="92"/>
      <c r="N970" s="92"/>
      <c r="O970" s="92"/>
      <c r="P970" s="92"/>
      <c r="Q970" s="92"/>
      <c r="R970" s="92"/>
      <c r="S970" s="92"/>
      <c r="T970" s="92"/>
      <c r="U970" s="92"/>
      <c r="V970" s="92"/>
      <c r="W970" s="92"/>
      <c r="X970" s="92"/>
      <c r="Y970" s="92"/>
      <c r="Z970" s="92"/>
    </row>
    <row r="971" spans="1:26" hidden="1">
      <c r="A971" s="92"/>
      <c r="B971" s="92"/>
      <c r="C971" s="92"/>
      <c r="D971" s="92"/>
      <c r="E971" s="92"/>
      <c r="F971" s="92"/>
      <c r="G971" s="92"/>
      <c r="H971" s="92"/>
      <c r="I971" s="92"/>
      <c r="J971" s="92"/>
      <c r="K971" s="92"/>
      <c r="L971" s="92"/>
      <c r="M971" s="92"/>
      <c r="N971" s="92"/>
      <c r="O971" s="92"/>
      <c r="P971" s="92"/>
      <c r="Q971" s="92"/>
      <c r="R971" s="92"/>
      <c r="S971" s="92"/>
      <c r="T971" s="92"/>
      <c r="U971" s="92"/>
      <c r="V971" s="92"/>
      <c r="W971" s="92"/>
      <c r="X971" s="92"/>
      <c r="Y971" s="92"/>
      <c r="Z971" s="92"/>
    </row>
    <row r="972" spans="1:26" hidden="1">
      <c r="A972" s="92"/>
      <c r="B972" s="92"/>
      <c r="C972" s="92"/>
      <c r="D972" s="92"/>
      <c r="E972" s="92"/>
      <c r="F972" s="92"/>
      <c r="G972" s="92"/>
      <c r="H972" s="92"/>
      <c r="I972" s="92"/>
      <c r="J972" s="92"/>
      <c r="K972" s="92"/>
      <c r="L972" s="92"/>
      <c r="M972" s="92"/>
      <c r="N972" s="92"/>
      <c r="O972" s="92"/>
      <c r="P972" s="92"/>
      <c r="Q972" s="92"/>
      <c r="R972" s="92"/>
      <c r="S972" s="92"/>
      <c r="T972" s="92"/>
      <c r="U972" s="92"/>
      <c r="V972" s="92"/>
      <c r="W972" s="92"/>
      <c r="X972" s="92"/>
      <c r="Y972" s="92"/>
      <c r="Z972" s="92"/>
    </row>
    <row r="973" spans="1:26" hidden="1">
      <c r="A973" s="92"/>
      <c r="B973" s="92"/>
      <c r="C973" s="92"/>
      <c r="D973" s="92"/>
      <c r="E973" s="92"/>
      <c r="F973" s="92"/>
      <c r="G973" s="92"/>
      <c r="H973" s="92"/>
      <c r="I973" s="92"/>
      <c r="J973" s="92"/>
      <c r="K973" s="92"/>
      <c r="L973" s="92"/>
      <c r="M973" s="92"/>
      <c r="N973" s="92"/>
      <c r="O973" s="92"/>
      <c r="P973" s="92"/>
      <c r="Q973" s="92"/>
      <c r="R973" s="92"/>
      <c r="S973" s="92"/>
      <c r="T973" s="92"/>
      <c r="U973" s="92"/>
      <c r="V973" s="92"/>
      <c r="W973" s="92"/>
      <c r="X973" s="92"/>
      <c r="Y973" s="92"/>
      <c r="Z973" s="92"/>
    </row>
    <row r="974" spans="1:26" hidden="1">
      <c r="A974" s="92"/>
      <c r="B974" s="92"/>
      <c r="C974" s="92"/>
      <c r="D974" s="92"/>
      <c r="E974" s="92"/>
      <c r="F974" s="92"/>
      <c r="G974" s="92"/>
      <c r="H974" s="92"/>
      <c r="I974" s="92"/>
      <c r="J974" s="92"/>
      <c r="K974" s="92"/>
      <c r="L974" s="92"/>
      <c r="M974" s="92"/>
      <c r="N974" s="92"/>
      <c r="O974" s="92"/>
      <c r="P974" s="92"/>
      <c r="Q974" s="92"/>
      <c r="R974" s="92"/>
      <c r="S974" s="92"/>
      <c r="T974" s="92"/>
      <c r="U974" s="92"/>
      <c r="V974" s="92"/>
      <c r="W974" s="92"/>
      <c r="X974" s="92"/>
      <c r="Y974" s="92"/>
      <c r="Z974" s="92"/>
    </row>
    <row r="975" spans="1:26" hidden="1">
      <c r="A975" s="92"/>
      <c r="B975" s="92"/>
      <c r="C975" s="92"/>
      <c r="D975" s="92"/>
      <c r="E975" s="92"/>
      <c r="F975" s="92"/>
      <c r="G975" s="92"/>
      <c r="H975" s="92"/>
      <c r="I975" s="92"/>
      <c r="J975" s="92"/>
      <c r="K975" s="92"/>
      <c r="L975" s="92"/>
      <c r="M975" s="92"/>
      <c r="N975" s="92"/>
      <c r="O975" s="92"/>
      <c r="P975" s="92"/>
      <c r="Q975" s="92"/>
      <c r="R975" s="92"/>
      <c r="S975" s="92"/>
      <c r="T975" s="92"/>
      <c r="U975" s="92"/>
      <c r="V975" s="92"/>
      <c r="W975" s="92"/>
      <c r="X975" s="92"/>
      <c r="Y975" s="92"/>
      <c r="Z975" s="92"/>
    </row>
    <row r="976" spans="1:26" hidden="1">
      <c r="A976" s="92"/>
      <c r="B976" s="92"/>
      <c r="C976" s="92"/>
      <c r="D976" s="92"/>
      <c r="E976" s="92"/>
      <c r="F976" s="92"/>
      <c r="G976" s="92"/>
      <c r="H976" s="92"/>
      <c r="I976" s="92"/>
      <c r="J976" s="92"/>
      <c r="K976" s="92"/>
      <c r="L976" s="92"/>
      <c r="M976" s="92"/>
      <c r="N976" s="92"/>
      <c r="O976" s="92"/>
      <c r="P976" s="92"/>
      <c r="Q976" s="92"/>
      <c r="R976" s="92"/>
      <c r="S976" s="92"/>
      <c r="T976" s="92"/>
      <c r="U976" s="92"/>
      <c r="V976" s="92"/>
      <c r="W976" s="92"/>
      <c r="X976" s="92"/>
      <c r="Y976" s="92"/>
      <c r="Z976" s="92"/>
    </row>
    <row r="977" spans="1:26" hidden="1">
      <c r="A977" s="92"/>
      <c r="B977" s="92"/>
      <c r="C977" s="92"/>
      <c r="D977" s="92"/>
      <c r="E977" s="92"/>
      <c r="F977" s="92"/>
      <c r="G977" s="92"/>
      <c r="H977" s="92"/>
      <c r="I977" s="92"/>
      <c r="J977" s="92"/>
      <c r="K977" s="92"/>
      <c r="L977" s="92"/>
      <c r="M977" s="92"/>
      <c r="N977" s="92"/>
      <c r="O977" s="92"/>
      <c r="P977" s="92"/>
      <c r="Q977" s="92"/>
      <c r="R977" s="92"/>
      <c r="S977" s="92"/>
      <c r="T977" s="92"/>
      <c r="U977" s="92"/>
      <c r="V977" s="92"/>
      <c r="W977" s="92"/>
      <c r="X977" s="92"/>
      <c r="Y977" s="92"/>
      <c r="Z977" s="92"/>
    </row>
    <row r="978" spans="1:26" hidden="1">
      <c r="A978" s="92"/>
      <c r="B978" s="92"/>
      <c r="C978" s="92"/>
      <c r="D978" s="92"/>
      <c r="E978" s="92"/>
      <c r="F978" s="92"/>
      <c r="G978" s="92"/>
      <c r="H978" s="92"/>
      <c r="I978" s="92"/>
      <c r="J978" s="92"/>
      <c r="K978" s="92"/>
      <c r="L978" s="92"/>
      <c r="M978" s="92"/>
      <c r="N978" s="92"/>
      <c r="O978" s="92"/>
      <c r="P978" s="92"/>
      <c r="Q978" s="92"/>
      <c r="R978" s="92"/>
      <c r="S978" s="92"/>
      <c r="T978" s="92"/>
      <c r="U978" s="92"/>
      <c r="V978" s="92"/>
      <c r="W978" s="92"/>
      <c r="X978" s="92"/>
      <c r="Y978" s="92"/>
      <c r="Z978" s="92"/>
    </row>
    <row r="979" spans="1:26" hidden="1">
      <c r="A979" s="92"/>
      <c r="B979" s="92"/>
      <c r="C979" s="92"/>
      <c r="D979" s="92"/>
      <c r="E979" s="92"/>
      <c r="F979" s="92"/>
      <c r="G979" s="92"/>
      <c r="H979" s="92"/>
      <c r="I979" s="92"/>
      <c r="J979" s="92"/>
      <c r="K979" s="92"/>
      <c r="L979" s="92"/>
      <c r="M979" s="92"/>
      <c r="N979" s="92"/>
      <c r="O979" s="92"/>
      <c r="P979" s="92"/>
      <c r="Q979" s="92"/>
      <c r="R979" s="92"/>
      <c r="S979" s="92"/>
      <c r="T979" s="92"/>
      <c r="U979" s="92"/>
      <c r="V979" s="92"/>
      <c r="W979" s="92"/>
      <c r="X979" s="92"/>
      <c r="Y979" s="92"/>
      <c r="Z979" s="92"/>
    </row>
    <row r="980" spans="1:26" hidden="1">
      <c r="A980" s="92"/>
      <c r="B980" s="92"/>
      <c r="C980" s="92"/>
      <c r="D980" s="92"/>
      <c r="E980" s="92"/>
      <c r="F980" s="92"/>
      <c r="G980" s="92"/>
      <c r="H980" s="92"/>
      <c r="I980" s="92"/>
      <c r="J980" s="92"/>
      <c r="K980" s="92"/>
      <c r="L980" s="92"/>
      <c r="M980" s="92"/>
      <c r="N980" s="92"/>
      <c r="O980" s="92"/>
      <c r="P980" s="92"/>
      <c r="Q980" s="92"/>
      <c r="R980" s="92"/>
      <c r="S980" s="92"/>
      <c r="T980" s="92"/>
      <c r="U980" s="92"/>
      <c r="V980" s="92"/>
      <c r="W980" s="92"/>
      <c r="X980" s="92"/>
      <c r="Y980" s="92"/>
      <c r="Z980" s="92"/>
    </row>
    <row r="981" spans="1:26" hidden="1">
      <c r="A981" s="92"/>
      <c r="B981" s="92"/>
      <c r="C981" s="92"/>
      <c r="D981" s="92"/>
      <c r="E981" s="92"/>
      <c r="F981" s="92"/>
      <c r="G981" s="92"/>
      <c r="H981" s="92"/>
      <c r="I981" s="92"/>
      <c r="J981" s="92"/>
      <c r="K981" s="92"/>
      <c r="L981" s="92"/>
      <c r="M981" s="92"/>
      <c r="N981" s="92"/>
      <c r="O981" s="92"/>
      <c r="P981" s="92"/>
      <c r="Q981" s="92"/>
      <c r="R981" s="92"/>
      <c r="S981" s="92"/>
      <c r="T981" s="92"/>
      <c r="U981" s="92"/>
      <c r="V981" s="92"/>
      <c r="W981" s="92"/>
      <c r="X981" s="92"/>
      <c r="Y981" s="92"/>
      <c r="Z981" s="92"/>
    </row>
    <row r="982" spans="1:26" hidden="1">
      <c r="A982" s="92"/>
      <c r="B982" s="92"/>
      <c r="C982" s="92"/>
      <c r="D982" s="92"/>
      <c r="E982" s="92"/>
      <c r="F982" s="92"/>
      <c r="G982" s="92"/>
      <c r="H982" s="92"/>
      <c r="I982" s="92"/>
      <c r="J982" s="92"/>
      <c r="K982" s="92"/>
      <c r="L982" s="92"/>
      <c r="M982" s="92"/>
      <c r="N982" s="92"/>
      <c r="O982" s="92"/>
      <c r="P982" s="92"/>
      <c r="Q982" s="92"/>
      <c r="R982" s="92"/>
      <c r="S982" s="92"/>
      <c r="T982" s="92"/>
      <c r="U982" s="92"/>
      <c r="V982" s="92"/>
      <c r="W982" s="92"/>
      <c r="X982" s="92"/>
      <c r="Y982" s="92"/>
      <c r="Z982" s="92"/>
    </row>
    <row r="983" spans="1:26" hidden="1">
      <c r="A983" s="92"/>
      <c r="B983" s="92"/>
      <c r="C983" s="92"/>
      <c r="D983" s="92"/>
      <c r="E983" s="92"/>
      <c r="F983" s="92"/>
      <c r="G983" s="92"/>
      <c r="H983" s="92"/>
      <c r="I983" s="92"/>
      <c r="J983" s="92"/>
      <c r="K983" s="92"/>
      <c r="L983" s="92"/>
      <c r="M983" s="92"/>
      <c r="N983" s="92"/>
      <c r="O983" s="92"/>
      <c r="P983" s="92"/>
      <c r="Q983" s="92"/>
      <c r="R983" s="92"/>
      <c r="S983" s="92"/>
      <c r="T983" s="92"/>
      <c r="U983" s="92"/>
      <c r="V983" s="92"/>
      <c r="W983" s="92"/>
      <c r="X983" s="92"/>
      <c r="Y983" s="92"/>
      <c r="Z983" s="92"/>
    </row>
    <row r="984" spans="1:26" hidden="1">
      <c r="F984" s="92"/>
      <c r="G984" s="92"/>
      <c r="H984" s="92"/>
      <c r="I984" s="92"/>
      <c r="J984" s="92"/>
      <c r="K984" s="92"/>
      <c r="L984" s="92"/>
      <c r="M984" s="92"/>
      <c r="N984" s="92"/>
      <c r="O984" s="92"/>
      <c r="P984" s="92"/>
      <c r="Q984" s="92"/>
      <c r="R984" s="92"/>
      <c r="S984" s="92"/>
      <c r="T984" s="92"/>
      <c r="U984" s="92"/>
      <c r="V984" s="92"/>
      <c r="W984" s="92"/>
      <c r="X984" s="92"/>
      <c r="Y984" s="92"/>
      <c r="Z984" s="92"/>
    </row>
    <row r="985" spans="1:26" hidden="1">
      <c r="F985" s="92"/>
      <c r="G985" s="92"/>
      <c r="H985" s="92"/>
      <c r="I985" s="92"/>
      <c r="J985" s="92"/>
      <c r="K985" s="92"/>
      <c r="L985" s="92"/>
      <c r="M985" s="92"/>
      <c r="N985" s="92"/>
      <c r="O985" s="92"/>
      <c r="P985" s="92"/>
      <c r="Q985" s="92"/>
      <c r="R985" s="92"/>
      <c r="S985" s="92"/>
      <c r="T985" s="92"/>
      <c r="U985" s="92"/>
      <c r="V985" s="92"/>
      <c r="W985" s="92"/>
      <c r="X985" s="92"/>
      <c r="Y985" s="92"/>
      <c r="Z985" s="92"/>
    </row>
    <row r="986" spans="1:26" hidden="1">
      <c r="F986" s="92"/>
      <c r="G986" s="92"/>
      <c r="H986" s="92"/>
      <c r="I986" s="92"/>
      <c r="J986" s="92"/>
      <c r="K986" s="92"/>
      <c r="L986" s="92"/>
      <c r="M986" s="92"/>
      <c r="N986" s="92"/>
      <c r="O986" s="92"/>
      <c r="P986" s="92"/>
      <c r="Q986" s="92"/>
      <c r="R986" s="92"/>
      <c r="S986" s="92"/>
      <c r="T986" s="92"/>
      <c r="U986" s="92"/>
      <c r="V986" s="92"/>
      <c r="W986" s="92"/>
      <c r="X986" s="92"/>
      <c r="Y986" s="92"/>
      <c r="Z986" s="92"/>
    </row>
    <row r="987" spans="1:26" hidden="1">
      <c r="F987" s="92"/>
      <c r="G987" s="92"/>
      <c r="H987" s="92"/>
      <c r="I987" s="92"/>
      <c r="J987" s="92"/>
      <c r="K987" s="92"/>
      <c r="L987" s="92"/>
      <c r="M987" s="92"/>
      <c r="N987" s="92"/>
      <c r="O987" s="92"/>
      <c r="P987" s="92"/>
      <c r="Q987" s="92"/>
      <c r="R987" s="92"/>
      <c r="S987" s="92"/>
      <c r="T987" s="92"/>
      <c r="U987" s="92"/>
      <c r="V987" s="92"/>
      <c r="W987" s="92"/>
      <c r="X987" s="92"/>
      <c r="Y987" s="92"/>
      <c r="Z987" s="92"/>
    </row>
    <row r="988" spans="1:26" hidden="1">
      <c r="F988" s="92"/>
      <c r="G988" s="92"/>
      <c r="H988" s="92"/>
      <c r="I988" s="92"/>
      <c r="J988" s="92"/>
      <c r="K988" s="92"/>
      <c r="L988" s="92"/>
      <c r="M988" s="92"/>
      <c r="N988" s="92"/>
      <c r="O988" s="92"/>
      <c r="P988" s="92"/>
      <c r="Q988" s="92"/>
      <c r="R988" s="92"/>
      <c r="S988" s="92"/>
      <c r="T988" s="92"/>
      <c r="U988" s="92"/>
      <c r="V988" s="92"/>
      <c r="W988" s="92"/>
      <c r="X988" s="92"/>
      <c r="Y988" s="92"/>
      <c r="Z988" s="92"/>
    </row>
    <row r="989" spans="1:26" hidden="1">
      <c r="F989" s="92"/>
      <c r="G989" s="92"/>
      <c r="H989" s="92"/>
      <c r="I989" s="92"/>
      <c r="J989" s="92"/>
      <c r="K989" s="92"/>
      <c r="L989" s="92"/>
      <c r="M989" s="92"/>
      <c r="N989" s="92"/>
      <c r="O989" s="92"/>
      <c r="P989" s="92"/>
      <c r="Q989" s="92"/>
      <c r="R989" s="92"/>
      <c r="S989" s="92"/>
      <c r="T989" s="92"/>
      <c r="U989" s="92"/>
      <c r="V989" s="92"/>
      <c r="W989" s="92"/>
      <c r="X989" s="92"/>
      <c r="Y989" s="92"/>
      <c r="Z989" s="92"/>
    </row>
    <row r="990" spans="1:26" hidden="1">
      <c r="F990" s="92"/>
      <c r="G990" s="92"/>
      <c r="H990" s="92"/>
      <c r="I990" s="92"/>
      <c r="J990" s="92"/>
      <c r="K990" s="92"/>
      <c r="L990" s="92"/>
      <c r="M990" s="92"/>
      <c r="N990" s="92"/>
      <c r="O990" s="92"/>
      <c r="P990" s="92"/>
      <c r="Q990" s="92"/>
      <c r="R990" s="92"/>
      <c r="S990" s="92"/>
      <c r="T990" s="92"/>
      <c r="U990" s="92"/>
      <c r="V990" s="92"/>
      <c r="W990" s="92"/>
      <c r="X990" s="92"/>
      <c r="Y990" s="92"/>
      <c r="Z990" s="92"/>
    </row>
    <row r="991" spans="1:26" hidden="1">
      <c r="F991" s="92"/>
      <c r="G991" s="92"/>
      <c r="H991" s="92"/>
      <c r="I991" s="92"/>
      <c r="J991" s="92"/>
      <c r="K991" s="92"/>
      <c r="L991" s="92"/>
      <c r="M991" s="92"/>
      <c r="N991" s="92"/>
      <c r="O991" s="92"/>
      <c r="P991" s="92"/>
      <c r="Q991" s="92"/>
      <c r="R991" s="92"/>
      <c r="S991" s="92"/>
      <c r="T991" s="92"/>
      <c r="U991" s="92"/>
      <c r="V991" s="92"/>
      <c r="W991" s="92"/>
      <c r="X991" s="92"/>
      <c r="Y991" s="92"/>
      <c r="Z991" s="92"/>
    </row>
    <row r="992" spans="1:26" hidden="1">
      <c r="F992" s="92"/>
      <c r="G992" s="92"/>
      <c r="H992" s="92"/>
      <c r="I992" s="92"/>
      <c r="J992" s="92"/>
      <c r="K992" s="92"/>
      <c r="L992" s="92"/>
      <c r="M992" s="92"/>
      <c r="N992" s="92"/>
      <c r="O992" s="92"/>
      <c r="P992" s="92"/>
      <c r="Q992" s="92"/>
      <c r="R992" s="92"/>
      <c r="S992" s="92"/>
      <c r="T992" s="92"/>
      <c r="U992" s="92"/>
      <c r="V992" s="92"/>
      <c r="W992" s="92"/>
      <c r="X992" s="92"/>
      <c r="Y992" s="92"/>
      <c r="Z992" s="92"/>
    </row>
    <row r="993" spans="6:26" hidden="1">
      <c r="F993" s="92"/>
      <c r="G993" s="92"/>
      <c r="H993" s="92"/>
      <c r="I993" s="92"/>
      <c r="J993" s="92"/>
      <c r="K993" s="92"/>
      <c r="L993" s="92"/>
      <c r="M993" s="92"/>
      <c r="N993" s="92"/>
      <c r="O993" s="92"/>
      <c r="P993" s="92"/>
      <c r="Q993" s="92"/>
      <c r="R993" s="92"/>
      <c r="S993" s="92"/>
      <c r="T993" s="92"/>
      <c r="U993" s="92"/>
      <c r="V993" s="92"/>
      <c r="W993" s="92"/>
      <c r="X993" s="92"/>
      <c r="Y993" s="92"/>
      <c r="Z993" s="92"/>
    </row>
    <row r="994" spans="6:26" hidden="1">
      <c r="F994" s="92"/>
      <c r="G994" s="92"/>
      <c r="H994" s="92"/>
      <c r="I994" s="92"/>
      <c r="J994" s="92"/>
      <c r="K994" s="92"/>
      <c r="L994" s="92"/>
      <c r="M994" s="92"/>
      <c r="N994" s="92"/>
      <c r="O994" s="92"/>
      <c r="P994" s="92"/>
      <c r="Q994" s="92"/>
      <c r="R994" s="92"/>
      <c r="S994" s="92"/>
      <c r="T994" s="92"/>
      <c r="U994" s="92"/>
      <c r="V994" s="92"/>
      <c r="W994" s="92"/>
      <c r="X994" s="92"/>
      <c r="Y994" s="92"/>
      <c r="Z994" s="92"/>
    </row>
    <row r="995" spans="6:26" hidden="1">
      <c r="F995" s="92"/>
      <c r="G995" s="92"/>
      <c r="H995" s="92"/>
      <c r="I995" s="92"/>
      <c r="J995" s="92"/>
      <c r="K995" s="92"/>
      <c r="L995" s="92"/>
      <c r="M995" s="92"/>
      <c r="N995" s="92"/>
      <c r="O995" s="92"/>
      <c r="P995" s="92"/>
      <c r="Q995" s="92"/>
      <c r="R995" s="92"/>
      <c r="S995" s="92"/>
      <c r="T995" s="92"/>
      <c r="U995" s="92"/>
      <c r="V995" s="92"/>
      <c r="W995" s="92"/>
      <c r="X995" s="92"/>
      <c r="Y995" s="92"/>
      <c r="Z995" s="92"/>
    </row>
    <row r="996" spans="6:26" hidden="1">
      <c r="F996" s="92"/>
      <c r="G996" s="92"/>
      <c r="H996" s="92"/>
      <c r="I996" s="92"/>
      <c r="J996" s="92"/>
      <c r="V996" s="92"/>
      <c r="W996" s="92"/>
      <c r="X996" s="92"/>
      <c r="Y996" s="92"/>
      <c r="Z996" s="92"/>
    </row>
  </sheetData>
  <sheetProtection algorithmName="SHA-512" hashValue="uSEU8X5JWWhLVwPta163R3nSfTw1xNreih8wqtRrUyrdSZm5EENTGLS7p8cajCCFMfy64sOOEjVIofW0V9NoqA==" saltValue="FhzkHb7Dp8Ijc28J4v20Gw==" spinCount="100000" sheet="1" selectLockedCells="1"/>
  <sortState xmlns:xlrd2="http://schemas.microsoft.com/office/spreadsheetml/2017/richdata2" ref="K7:U136">
    <sortCondition ref="U7:U136"/>
    <sortCondition ref="M7:M136"/>
  </sortState>
  <dataConsolidate/>
  <mergeCells count="17">
    <mergeCell ref="C3:E3"/>
    <mergeCell ref="C4:E4"/>
    <mergeCell ref="C5:E5"/>
    <mergeCell ref="C6:E6"/>
    <mergeCell ref="B13:E13"/>
    <mergeCell ref="C7:E7"/>
    <mergeCell ref="B23:E23"/>
    <mergeCell ref="B32:E32"/>
    <mergeCell ref="B9:E9"/>
    <mergeCell ref="B11:E11"/>
    <mergeCell ref="B24:E24"/>
    <mergeCell ref="B70:E70"/>
    <mergeCell ref="B78:E78"/>
    <mergeCell ref="B55:E55"/>
    <mergeCell ref="B57:E57"/>
    <mergeCell ref="B59:E59"/>
    <mergeCell ref="B69:E69"/>
  </mergeCells>
  <phoneticPr fontId="37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JC47"/>
  <sheetViews>
    <sheetView zoomScale="80" zoomScaleNormal="80" workbookViewId="0">
      <selection activeCell="F5" sqref="F5"/>
    </sheetView>
  </sheetViews>
  <sheetFormatPr defaultColWidth="11.42578125" defaultRowHeight="12.75"/>
  <cols>
    <col min="1" max="1" width="7.42578125" style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2" spans="1:263" ht="15.6" customHeight="1">
      <c r="B2" s="304" t="s">
        <v>5115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</row>
    <row r="3" spans="1:263" s="41" customFormat="1" ht="15">
      <c r="B3" s="40"/>
      <c r="C3" s="40"/>
      <c r="D3" s="40"/>
      <c r="S3" s="42"/>
      <c r="W3" s="185" t="s">
        <v>5269</v>
      </c>
    </row>
    <row r="4" spans="1:263" s="41" customFormat="1" ht="15.6" customHeight="1">
      <c r="B4" s="305" t="s">
        <v>236</v>
      </c>
      <c r="C4" s="306"/>
      <c r="D4" s="307" t="s">
        <v>1711</v>
      </c>
      <c r="E4" s="308"/>
      <c r="F4" s="308"/>
      <c r="G4" s="308"/>
      <c r="H4" s="308"/>
      <c r="I4" s="308"/>
      <c r="J4" s="308"/>
      <c r="K4" s="308"/>
      <c r="L4" s="308"/>
      <c r="M4" s="308"/>
      <c r="N4" s="308"/>
      <c r="O4" s="308"/>
      <c r="P4" s="308"/>
      <c r="Q4" s="308"/>
      <c r="R4" s="308"/>
      <c r="S4" s="308"/>
      <c r="T4" s="308"/>
      <c r="U4" s="309"/>
      <c r="V4" s="141"/>
      <c r="W4" s="141"/>
    </row>
    <row r="5" spans="1:263" s="41" customFormat="1" ht="89.25">
      <c r="A5" s="284" t="s">
        <v>1710</v>
      </c>
      <c r="B5" s="43" t="s">
        <v>237</v>
      </c>
      <c r="C5" s="43" t="s">
        <v>238</v>
      </c>
      <c r="D5" s="181" t="s">
        <v>239</v>
      </c>
      <c r="E5" s="142" t="s">
        <v>260</v>
      </c>
      <c r="F5" s="142" t="s">
        <v>251</v>
      </c>
      <c r="G5" s="142" t="s">
        <v>16</v>
      </c>
      <c r="H5" s="142" t="s">
        <v>1230</v>
      </c>
      <c r="I5" s="142" t="s">
        <v>17</v>
      </c>
      <c r="J5" s="142" t="s">
        <v>240</v>
      </c>
      <c r="K5" s="142" t="s">
        <v>241</v>
      </c>
      <c r="L5" s="142" t="s">
        <v>1231</v>
      </c>
      <c r="M5" s="142" t="s">
        <v>242</v>
      </c>
      <c r="N5" s="142" t="s">
        <v>243</v>
      </c>
      <c r="O5" s="142" t="s">
        <v>244</v>
      </c>
      <c r="P5" s="142" t="s">
        <v>1232</v>
      </c>
      <c r="Q5" s="142" t="s">
        <v>1233</v>
      </c>
      <c r="R5" s="142" t="s">
        <v>1708</v>
      </c>
      <c r="S5" s="2" t="s">
        <v>3021</v>
      </c>
      <c r="T5" s="142" t="s">
        <v>245</v>
      </c>
      <c r="U5" s="2" t="s">
        <v>246</v>
      </c>
      <c r="V5" s="2" t="s">
        <v>250</v>
      </c>
      <c r="W5" s="2" t="s">
        <v>1206</v>
      </c>
    </row>
    <row r="6" spans="1:263" s="8" customFormat="1" ht="12.6" customHeight="1">
      <c r="A6" s="285">
        <v>2023</v>
      </c>
      <c r="B6" s="68">
        <v>8</v>
      </c>
      <c r="C6" s="69" t="s">
        <v>13</v>
      </c>
      <c r="D6" s="72">
        <f>+I6+W6</f>
        <v>0</v>
      </c>
      <c r="E6" s="275"/>
      <c r="F6" s="275"/>
      <c r="G6" s="275"/>
      <c r="H6" s="275"/>
      <c r="I6" s="71">
        <f t="shared" ref="I6:W6" si="0">SUM(I7:I10)</f>
        <v>0</v>
      </c>
      <c r="J6" s="275"/>
      <c r="K6" s="275"/>
      <c r="L6" s="275"/>
      <c r="M6" s="275"/>
      <c r="N6" s="275"/>
      <c r="O6" s="275"/>
      <c r="P6" s="275"/>
      <c r="Q6" s="275"/>
      <c r="R6" s="275"/>
      <c r="S6" s="275"/>
      <c r="T6" s="275"/>
      <c r="U6" s="275"/>
      <c r="V6" s="275"/>
      <c r="W6" s="71">
        <f t="shared" si="0"/>
        <v>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1" customFormat="1">
      <c r="A7" s="285">
        <v>2023</v>
      </c>
      <c r="B7" s="50">
        <v>81</v>
      </c>
      <c r="C7" s="51" t="s">
        <v>5107</v>
      </c>
      <c r="D7" s="30">
        <f>+I7+W7</f>
        <v>0</v>
      </c>
      <c r="E7" s="275"/>
      <c r="F7" s="275"/>
      <c r="G7" s="275"/>
      <c r="H7" s="275"/>
      <c r="I7" s="126">
        <f>SUMIFS('Unos prihoda i primitaka'!$G$3:$G$501,'Unos prihoda i primitaka'!$C$3:$C$501,"=43",'Unos prihoda i primitaka'!$L$3:$L$501,"=81")</f>
        <v>0</v>
      </c>
      <c r="J7" s="275"/>
      <c r="K7" s="275"/>
      <c r="L7" s="275"/>
      <c r="M7" s="275"/>
      <c r="N7" s="275"/>
      <c r="O7" s="275"/>
      <c r="P7" s="275"/>
      <c r="Q7" s="275"/>
      <c r="R7" s="275"/>
      <c r="S7" s="275"/>
      <c r="T7" s="275"/>
      <c r="U7" s="275"/>
      <c r="V7" s="275"/>
      <c r="W7" s="126">
        <f>SUMIFS('Unos prihoda i primitaka'!$G$3:$G$501,'Unos prihoda i primitaka'!$C$3:$C$501,"=81",'Unos prihoda i primitaka'!$L$3:$L$501,"=81")</f>
        <v>0</v>
      </c>
    </row>
    <row r="8" spans="1:263" s="41" customFormat="1">
      <c r="A8" s="285">
        <v>2023</v>
      </c>
      <c r="B8" s="50">
        <v>82</v>
      </c>
      <c r="C8" s="51" t="s">
        <v>5108</v>
      </c>
      <c r="D8" s="30">
        <f t="shared" ref="D8:D10" si="1">+I8+W8</f>
        <v>0</v>
      </c>
      <c r="E8" s="275"/>
      <c r="F8" s="275"/>
      <c r="G8" s="275"/>
      <c r="H8" s="275"/>
      <c r="I8" s="126">
        <f>SUMIFS('Unos prihoda i primitaka'!$G$3:$G$501,'Unos prihoda i primitaka'!$C$3:$C$501,"=43",'Unos prihoda i primitaka'!$L$3:$L$501,"=82")</f>
        <v>0</v>
      </c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126">
        <f>SUMIFS('Unos prihoda i primitaka'!$G$3:$G$501,'Unos prihoda i primitaka'!$C$3:$C$501,"=81",'Unos prihoda i primitaka'!$L$3:$L$501,"=82")</f>
        <v>0</v>
      </c>
    </row>
    <row r="9" spans="1:263" s="41" customFormat="1">
      <c r="A9" s="285">
        <v>2023</v>
      </c>
      <c r="B9" s="50">
        <v>83</v>
      </c>
      <c r="C9" s="51" t="s">
        <v>5109</v>
      </c>
      <c r="D9" s="30">
        <f t="shared" si="1"/>
        <v>0</v>
      </c>
      <c r="E9" s="275"/>
      <c r="F9" s="275"/>
      <c r="G9" s="275"/>
      <c r="H9" s="275"/>
      <c r="I9" s="126">
        <f>SUMIFS('Unos prihoda i primitaka'!$G$3:$G$501,'Unos prihoda i primitaka'!$C$3:$C$501,"=43",'Unos prihoda i primitaka'!$L$3:$L$501,"=83")</f>
        <v>0</v>
      </c>
      <c r="J9" s="275"/>
      <c r="K9" s="275"/>
      <c r="L9" s="275"/>
      <c r="M9" s="275"/>
      <c r="N9" s="275"/>
      <c r="O9" s="275"/>
      <c r="P9" s="275"/>
      <c r="Q9" s="275"/>
      <c r="R9" s="275"/>
      <c r="S9" s="275"/>
      <c r="T9" s="275"/>
      <c r="U9" s="275"/>
      <c r="V9" s="275"/>
      <c r="W9" s="126">
        <f>SUMIFS('Unos prihoda i primitaka'!$G$3:$G$501,'Unos prihoda i primitaka'!$C$3:$C$501,"=81",'Unos prihoda i primitaka'!$L$3:$L$501,"=83")</f>
        <v>0</v>
      </c>
    </row>
    <row r="10" spans="1:263" s="41" customFormat="1">
      <c r="A10" s="285">
        <v>2023</v>
      </c>
      <c r="B10" s="50">
        <v>84</v>
      </c>
      <c r="C10" s="51" t="s">
        <v>5110</v>
      </c>
      <c r="D10" s="30">
        <f t="shared" si="1"/>
        <v>0</v>
      </c>
      <c r="E10" s="275"/>
      <c r="F10" s="275"/>
      <c r="G10" s="275"/>
      <c r="H10" s="275"/>
      <c r="I10" s="126">
        <f>SUMIFS('Unos prihoda i primitaka'!$G$3:$G$501,'Unos prihoda i primitaka'!$C$3:$C$501,"=43",'Unos prihoda i primitaka'!$L$3:$L$501,"=84")</f>
        <v>0</v>
      </c>
      <c r="J10" s="275"/>
      <c r="K10" s="275"/>
      <c r="L10" s="275"/>
      <c r="M10" s="275"/>
      <c r="N10" s="275"/>
      <c r="O10" s="275"/>
      <c r="P10" s="275"/>
      <c r="Q10" s="275"/>
      <c r="R10" s="275"/>
      <c r="S10" s="275"/>
      <c r="T10" s="275"/>
      <c r="U10" s="275"/>
      <c r="V10" s="275"/>
      <c r="W10" s="126">
        <f>SUMIFS('Unos prihoda i primitaka'!$G$3:$G$501,'Unos prihoda i primitaka'!$C$3:$C$501,"=81",'Unos prihoda i primitaka'!$L$3:$L$501,"=84")</f>
        <v>0</v>
      </c>
    </row>
    <row r="11" spans="1:263" s="8" customFormat="1" ht="12.6" customHeight="1">
      <c r="A11" s="285">
        <v>2023</v>
      </c>
      <c r="B11" s="68">
        <v>5</v>
      </c>
      <c r="C11" s="69" t="s">
        <v>14</v>
      </c>
      <c r="D11" s="72">
        <f t="shared" ref="D11:D13" si="2">SUM(E11:W11)</f>
        <v>0</v>
      </c>
      <c r="E11" s="71">
        <f>+E12+E13</f>
        <v>0</v>
      </c>
      <c r="F11" s="71">
        <f t="shared" ref="F11:W11" si="3">+F12+F13</f>
        <v>0</v>
      </c>
      <c r="G11" s="71">
        <f t="shared" si="3"/>
        <v>0</v>
      </c>
      <c r="H11" s="71">
        <f t="shared" si="3"/>
        <v>0</v>
      </c>
      <c r="I11" s="71">
        <f t="shared" si="3"/>
        <v>0</v>
      </c>
      <c r="J11" s="71">
        <f t="shared" si="3"/>
        <v>0</v>
      </c>
      <c r="K11" s="71">
        <f t="shared" si="3"/>
        <v>0</v>
      </c>
      <c r="L11" s="71">
        <f t="shared" si="3"/>
        <v>0</v>
      </c>
      <c r="M11" s="71">
        <f t="shared" si="3"/>
        <v>0</v>
      </c>
      <c r="N11" s="71">
        <f t="shared" si="3"/>
        <v>0</v>
      </c>
      <c r="O11" s="71">
        <f t="shared" si="3"/>
        <v>0</v>
      </c>
      <c r="P11" s="71">
        <f t="shared" si="3"/>
        <v>0</v>
      </c>
      <c r="Q11" s="71">
        <f t="shared" si="3"/>
        <v>0</v>
      </c>
      <c r="R11" s="71">
        <f t="shared" si="3"/>
        <v>0</v>
      </c>
      <c r="S11" s="71">
        <f t="shared" si="3"/>
        <v>0</v>
      </c>
      <c r="T11" s="71">
        <f t="shared" si="3"/>
        <v>0</v>
      </c>
      <c r="U11" s="71">
        <f t="shared" si="3"/>
        <v>0</v>
      </c>
      <c r="V11" s="71">
        <f t="shared" si="3"/>
        <v>0</v>
      </c>
      <c r="W11" s="71">
        <f t="shared" si="3"/>
        <v>0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1" customFormat="1">
      <c r="A12" s="285">
        <v>2023</v>
      </c>
      <c r="B12" s="50">
        <v>51</v>
      </c>
      <c r="C12" s="51" t="s">
        <v>261</v>
      </c>
      <c r="D12" s="30">
        <f t="shared" si="2"/>
        <v>0</v>
      </c>
      <c r="E12" s="82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F12" s="82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G12" s="82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H12" s="82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I12" s="82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J12" s="82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K12" s="82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L12" s="82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M12" s="82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N12" s="82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O12" s="82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P12" s="82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Q12" s="82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R12" s="82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S12" s="82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T12" s="82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U12" s="82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V12" s="82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W12" s="82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3" s="41" customFormat="1">
      <c r="A13" s="285">
        <v>2023</v>
      </c>
      <c r="B13" s="50">
        <v>54</v>
      </c>
      <c r="C13" s="51" t="s">
        <v>262</v>
      </c>
      <c r="D13" s="30">
        <f t="shared" si="2"/>
        <v>0</v>
      </c>
      <c r="E13" s="82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F13" s="82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G13" s="82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H13" s="82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I13" s="82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J13" s="82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K13" s="82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L13" s="82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M13" s="82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N13" s="82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O13" s="82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P13" s="82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Q13" s="82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R13" s="82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S13" s="82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T13" s="82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U13" s="82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V13" s="82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W13" s="82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3">
      <c r="B14" s="23"/>
      <c r="C14" s="23"/>
      <c r="D14" s="23"/>
      <c r="E14" s="23"/>
      <c r="F14" s="23"/>
      <c r="G14" s="23"/>
      <c r="H14" s="23"/>
      <c r="I14" s="52"/>
      <c r="J14" s="53"/>
      <c r="K14" s="53"/>
      <c r="L14" s="53"/>
      <c r="M14" s="53"/>
      <c r="N14" s="53"/>
      <c r="O14" s="53"/>
      <c r="P14" s="53"/>
      <c r="Q14" s="53"/>
      <c r="R14" s="53"/>
      <c r="S14" s="42"/>
      <c r="W14" s="42"/>
    </row>
    <row r="15" spans="1:263" s="41" customFormat="1" ht="15.75">
      <c r="B15" s="305" t="s">
        <v>236</v>
      </c>
      <c r="C15" s="306"/>
      <c r="D15" s="307" t="s">
        <v>1782</v>
      </c>
      <c r="E15" s="308"/>
      <c r="F15" s="308"/>
      <c r="G15" s="308"/>
      <c r="H15" s="308"/>
      <c r="I15" s="308"/>
      <c r="J15" s="308"/>
      <c r="K15" s="308"/>
      <c r="L15" s="308"/>
      <c r="M15" s="308"/>
      <c r="N15" s="308"/>
      <c r="O15" s="308"/>
      <c r="P15" s="308"/>
      <c r="Q15" s="308"/>
      <c r="R15" s="308"/>
      <c r="S15" s="308"/>
      <c r="T15" s="308"/>
      <c r="U15" s="309"/>
      <c r="V15" s="141"/>
      <c r="W15" s="141"/>
    </row>
    <row r="16" spans="1:263" s="41" customFormat="1" ht="89.25">
      <c r="A16" s="284" t="s">
        <v>1710</v>
      </c>
      <c r="B16" s="43" t="s">
        <v>237</v>
      </c>
      <c r="C16" s="43" t="s">
        <v>238</v>
      </c>
      <c r="D16" s="181" t="s">
        <v>239</v>
      </c>
      <c r="E16" s="142" t="s">
        <v>260</v>
      </c>
      <c r="F16" s="142" t="s">
        <v>251</v>
      </c>
      <c r="G16" s="142" t="s">
        <v>16</v>
      </c>
      <c r="H16" s="142" t="s">
        <v>1230</v>
      </c>
      <c r="I16" s="142" t="s">
        <v>17</v>
      </c>
      <c r="J16" s="142" t="s">
        <v>240</v>
      </c>
      <c r="K16" s="142" t="s">
        <v>241</v>
      </c>
      <c r="L16" s="142" t="s">
        <v>1231</v>
      </c>
      <c r="M16" s="142" t="s">
        <v>242</v>
      </c>
      <c r="N16" s="142" t="s">
        <v>243</v>
      </c>
      <c r="O16" s="142" t="s">
        <v>244</v>
      </c>
      <c r="P16" s="142" t="s">
        <v>1232</v>
      </c>
      <c r="Q16" s="142" t="s">
        <v>1233</v>
      </c>
      <c r="R16" s="142" t="s">
        <v>1708</v>
      </c>
      <c r="S16" s="2" t="s">
        <v>3021</v>
      </c>
      <c r="T16" s="142" t="s">
        <v>245</v>
      </c>
      <c r="U16" s="2" t="s">
        <v>246</v>
      </c>
      <c r="V16" s="2" t="s">
        <v>250</v>
      </c>
      <c r="W16" s="2" t="s">
        <v>1206</v>
      </c>
    </row>
    <row r="17" spans="1:263" s="8" customFormat="1" ht="12.6" customHeight="1">
      <c r="A17" s="285">
        <v>2024</v>
      </c>
      <c r="B17" s="68">
        <v>8</v>
      </c>
      <c r="C17" s="69" t="s">
        <v>13</v>
      </c>
      <c r="D17" s="72">
        <f>+I17+W17</f>
        <v>0</v>
      </c>
      <c r="E17" s="275"/>
      <c r="F17" s="275"/>
      <c r="G17" s="275"/>
      <c r="H17" s="275"/>
      <c r="I17" s="71">
        <f t="shared" ref="I17" si="4">SUM(I18:I21)</f>
        <v>0</v>
      </c>
      <c r="J17" s="275"/>
      <c r="K17" s="275"/>
      <c r="L17" s="275"/>
      <c r="M17" s="275"/>
      <c r="N17" s="275"/>
      <c r="O17" s="275"/>
      <c r="P17" s="275"/>
      <c r="Q17" s="275"/>
      <c r="R17" s="275"/>
      <c r="S17" s="275"/>
      <c r="T17" s="275"/>
      <c r="U17" s="275"/>
      <c r="V17" s="275"/>
      <c r="W17" s="71">
        <f t="shared" ref="W17" si="5">SUM(W18:W21)</f>
        <v>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1" customFormat="1">
      <c r="A18" s="285">
        <v>2024</v>
      </c>
      <c r="B18" s="50">
        <v>81</v>
      </c>
      <c r="C18" s="51" t="s">
        <v>5107</v>
      </c>
      <c r="D18" s="30">
        <f>+I18+W18</f>
        <v>0</v>
      </c>
      <c r="E18" s="275"/>
      <c r="F18" s="275"/>
      <c r="G18" s="275"/>
      <c r="H18" s="275"/>
      <c r="I18" s="126">
        <f>SUMIFS('Unos prihoda i primitaka'!$H$3:$H$501,'Unos prihoda i primitaka'!$C$3:$C$501,"=43",'Unos prihoda i primitaka'!$L$3:$L$501,"=81")</f>
        <v>0</v>
      </c>
      <c r="J18" s="275"/>
      <c r="K18" s="275"/>
      <c r="L18" s="275"/>
      <c r="M18" s="275"/>
      <c r="N18" s="275"/>
      <c r="O18" s="275"/>
      <c r="P18" s="275"/>
      <c r="Q18" s="275"/>
      <c r="R18" s="275"/>
      <c r="S18" s="275"/>
      <c r="T18" s="275"/>
      <c r="U18" s="275"/>
      <c r="V18" s="275"/>
      <c r="W18" s="126">
        <f>SUMIFS('Unos prihoda i primitaka'!$H$3:$H$501,'Unos prihoda i primitaka'!$C$3:$C$501,"=81",'Unos prihoda i primitaka'!$L$3:$L$501,"=81")</f>
        <v>0</v>
      </c>
    </row>
    <row r="19" spans="1:263" s="41" customFormat="1">
      <c r="A19" s="285">
        <v>2024</v>
      </c>
      <c r="B19" s="50">
        <v>82</v>
      </c>
      <c r="C19" s="51" t="s">
        <v>5108</v>
      </c>
      <c r="D19" s="30">
        <f t="shared" ref="D19:D21" si="6">+I19+W19</f>
        <v>0</v>
      </c>
      <c r="E19" s="275"/>
      <c r="F19" s="275"/>
      <c r="G19" s="275"/>
      <c r="H19" s="275"/>
      <c r="I19" s="126">
        <f>SUMIFS('Unos prihoda i primitaka'!$H$3:$H$501,'Unos prihoda i primitaka'!$C$3:$C$501,"=43",'Unos prihoda i primitaka'!$L$3:$L$501,"=82")</f>
        <v>0</v>
      </c>
      <c r="J19" s="275"/>
      <c r="K19" s="275"/>
      <c r="L19" s="275"/>
      <c r="M19" s="275"/>
      <c r="N19" s="275"/>
      <c r="O19" s="275"/>
      <c r="P19" s="275"/>
      <c r="Q19" s="275"/>
      <c r="R19" s="275"/>
      <c r="S19" s="275"/>
      <c r="T19" s="275"/>
      <c r="U19" s="275"/>
      <c r="V19" s="275"/>
      <c r="W19" s="126">
        <f>SUMIFS('Unos prihoda i primitaka'!$H$3:$H$501,'Unos prihoda i primitaka'!$C$3:$C$501,"=81",'Unos prihoda i primitaka'!$L$3:$L$501,"=82")</f>
        <v>0</v>
      </c>
    </row>
    <row r="20" spans="1:263" s="41" customFormat="1">
      <c r="A20" s="285">
        <v>2024</v>
      </c>
      <c r="B20" s="50">
        <v>83</v>
      </c>
      <c r="C20" s="51" t="s">
        <v>5109</v>
      </c>
      <c r="D20" s="30">
        <f t="shared" si="6"/>
        <v>0</v>
      </c>
      <c r="E20" s="275"/>
      <c r="F20" s="275"/>
      <c r="G20" s="275"/>
      <c r="H20" s="275"/>
      <c r="I20" s="126">
        <f>SUMIFS('Unos prihoda i primitaka'!$H$3:$H$501,'Unos prihoda i primitaka'!$C$3:$C$501,"=43",'Unos prihoda i primitaka'!$L$3:$L$501,"=83")</f>
        <v>0</v>
      </c>
      <c r="J20" s="275"/>
      <c r="K20" s="275"/>
      <c r="L20" s="275"/>
      <c r="M20" s="275"/>
      <c r="N20" s="275"/>
      <c r="O20" s="275"/>
      <c r="P20" s="275"/>
      <c r="Q20" s="275"/>
      <c r="R20" s="275"/>
      <c r="S20" s="275"/>
      <c r="T20" s="275"/>
      <c r="U20" s="275"/>
      <c r="V20" s="275"/>
      <c r="W20" s="126">
        <f>SUMIFS('Unos prihoda i primitaka'!$H$3:$H$501,'Unos prihoda i primitaka'!$C$3:$C$501,"=81",'Unos prihoda i primitaka'!$L$3:$L$501,"=83")</f>
        <v>0</v>
      </c>
    </row>
    <row r="21" spans="1:263" s="41" customFormat="1">
      <c r="A21" s="285">
        <v>2024</v>
      </c>
      <c r="B21" s="50">
        <v>84</v>
      </c>
      <c r="C21" s="51" t="s">
        <v>5110</v>
      </c>
      <c r="D21" s="30">
        <f t="shared" si="6"/>
        <v>0</v>
      </c>
      <c r="E21" s="275"/>
      <c r="F21" s="275"/>
      <c r="G21" s="275"/>
      <c r="H21" s="275"/>
      <c r="I21" s="126">
        <f>SUMIFS('Unos prihoda i primitaka'!$H$3:$H$501,'Unos prihoda i primitaka'!$C$3:$C$501,"=43",'Unos prihoda i primitaka'!$L$3:$L$501,"=84")</f>
        <v>0</v>
      </c>
      <c r="J21" s="275"/>
      <c r="K21" s="275"/>
      <c r="L21" s="275"/>
      <c r="M21" s="275"/>
      <c r="N21" s="275"/>
      <c r="O21" s="275"/>
      <c r="P21" s="275"/>
      <c r="Q21" s="275"/>
      <c r="R21" s="275"/>
      <c r="S21" s="275"/>
      <c r="T21" s="275"/>
      <c r="U21" s="275"/>
      <c r="V21" s="275"/>
      <c r="W21" s="126">
        <f>SUMIFS('Unos prihoda i primitaka'!$H$3:$H$501,'Unos prihoda i primitaka'!$C$3:$C$501,"=81",'Unos prihoda i primitaka'!$L$3:$L$501,"=84")</f>
        <v>0</v>
      </c>
    </row>
    <row r="22" spans="1:263" s="8" customFormat="1" ht="12.6" customHeight="1">
      <c r="A22" s="285">
        <v>2024</v>
      </c>
      <c r="B22" s="68">
        <v>5</v>
      </c>
      <c r="C22" s="69" t="s">
        <v>14</v>
      </c>
      <c r="D22" s="72">
        <f t="shared" ref="D22:D24" si="7">SUM(E22:W22)</f>
        <v>0</v>
      </c>
      <c r="E22" s="71">
        <f>+E23+E24</f>
        <v>0</v>
      </c>
      <c r="F22" s="71">
        <f t="shared" ref="F22:W22" si="8">+F23+F24</f>
        <v>0</v>
      </c>
      <c r="G22" s="71">
        <f t="shared" si="8"/>
        <v>0</v>
      </c>
      <c r="H22" s="71">
        <f t="shared" si="8"/>
        <v>0</v>
      </c>
      <c r="I22" s="71">
        <f t="shared" si="8"/>
        <v>0</v>
      </c>
      <c r="J22" s="71">
        <f t="shared" si="8"/>
        <v>0</v>
      </c>
      <c r="K22" s="71">
        <f t="shared" si="8"/>
        <v>0</v>
      </c>
      <c r="L22" s="71">
        <f t="shared" si="8"/>
        <v>0</v>
      </c>
      <c r="M22" s="71">
        <f t="shared" si="8"/>
        <v>0</v>
      </c>
      <c r="N22" s="71">
        <f t="shared" si="8"/>
        <v>0</v>
      </c>
      <c r="O22" s="71">
        <f t="shared" si="8"/>
        <v>0</v>
      </c>
      <c r="P22" s="71">
        <f t="shared" si="8"/>
        <v>0</v>
      </c>
      <c r="Q22" s="71">
        <f t="shared" si="8"/>
        <v>0</v>
      </c>
      <c r="R22" s="71">
        <f t="shared" si="8"/>
        <v>0</v>
      </c>
      <c r="S22" s="71">
        <f t="shared" si="8"/>
        <v>0</v>
      </c>
      <c r="T22" s="71">
        <f t="shared" si="8"/>
        <v>0</v>
      </c>
      <c r="U22" s="71">
        <f t="shared" si="8"/>
        <v>0</v>
      </c>
      <c r="V22" s="71">
        <f t="shared" si="8"/>
        <v>0</v>
      </c>
      <c r="W22" s="71">
        <f t="shared" si="8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1" customFormat="1">
      <c r="A23" s="285">
        <v>2024</v>
      </c>
      <c r="B23" s="50">
        <v>51</v>
      </c>
      <c r="C23" s="51" t="s">
        <v>261</v>
      </c>
      <c r="D23" s="30">
        <f t="shared" si="7"/>
        <v>0</v>
      </c>
      <c r="E23" s="82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F23" s="82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G23" s="82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H23" s="82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I23" s="82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J23" s="82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K23" s="82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L23" s="82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M23" s="82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N23" s="82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O23" s="82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P23" s="82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Q23" s="82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R23" s="82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S23" s="82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T23" s="82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U23" s="82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V23" s="82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W23" s="82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3" s="41" customFormat="1">
      <c r="A24" s="285">
        <v>2024</v>
      </c>
      <c r="B24" s="50">
        <v>54</v>
      </c>
      <c r="C24" s="51" t="s">
        <v>262</v>
      </c>
      <c r="D24" s="30">
        <f t="shared" si="7"/>
        <v>0</v>
      </c>
      <c r="E24" s="82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F24" s="82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G24" s="82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H24" s="82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I24" s="82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J24" s="82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K24" s="82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L24" s="82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M24" s="82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N24" s="82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O24" s="82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P24" s="82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Q24" s="82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R24" s="82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S24" s="82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T24" s="82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U24" s="82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V24" s="82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W24" s="82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3">
      <c r="B25" s="23"/>
      <c r="C25" s="23"/>
      <c r="D25" s="23"/>
      <c r="E25" s="23"/>
      <c r="F25" s="23"/>
      <c r="G25" s="23"/>
      <c r="H25" s="23"/>
      <c r="I25" s="52"/>
      <c r="J25" s="53"/>
      <c r="K25" s="53"/>
      <c r="L25" s="53"/>
      <c r="M25" s="53"/>
      <c r="N25" s="53"/>
      <c r="O25" s="53"/>
      <c r="P25" s="53"/>
      <c r="Q25" s="53"/>
      <c r="R25" s="53"/>
      <c r="S25" s="42"/>
      <c r="W25" s="42"/>
    </row>
    <row r="26" spans="1:263" s="41" customFormat="1" ht="15.75">
      <c r="B26" s="305" t="s">
        <v>236</v>
      </c>
      <c r="C26" s="306"/>
      <c r="D26" s="307" t="s">
        <v>3026</v>
      </c>
      <c r="E26" s="308"/>
      <c r="F26" s="308"/>
      <c r="G26" s="308"/>
      <c r="H26" s="308"/>
      <c r="I26" s="308"/>
      <c r="J26" s="308"/>
      <c r="K26" s="308"/>
      <c r="L26" s="308"/>
      <c r="M26" s="308"/>
      <c r="N26" s="308"/>
      <c r="O26" s="308"/>
      <c r="P26" s="308"/>
      <c r="Q26" s="308"/>
      <c r="R26" s="308"/>
      <c r="S26" s="308"/>
      <c r="T26" s="308"/>
      <c r="U26" s="309"/>
      <c r="V26" s="141"/>
      <c r="W26" s="141"/>
    </row>
    <row r="27" spans="1:263" s="41" customFormat="1" ht="89.25">
      <c r="A27" s="284" t="s">
        <v>1710</v>
      </c>
      <c r="B27" s="43" t="s">
        <v>237</v>
      </c>
      <c r="C27" s="43" t="s">
        <v>238</v>
      </c>
      <c r="D27" s="181" t="s">
        <v>239</v>
      </c>
      <c r="E27" s="169" t="s">
        <v>260</v>
      </c>
      <c r="F27" s="169" t="s">
        <v>251</v>
      </c>
      <c r="G27" s="169" t="s">
        <v>16</v>
      </c>
      <c r="H27" s="169" t="s">
        <v>1230</v>
      </c>
      <c r="I27" s="169" t="s">
        <v>17</v>
      </c>
      <c r="J27" s="169" t="s">
        <v>240</v>
      </c>
      <c r="K27" s="169" t="s">
        <v>241</v>
      </c>
      <c r="L27" s="169" t="s">
        <v>1231</v>
      </c>
      <c r="M27" s="169" t="s">
        <v>242</v>
      </c>
      <c r="N27" s="169" t="s">
        <v>243</v>
      </c>
      <c r="O27" s="169" t="s">
        <v>244</v>
      </c>
      <c r="P27" s="169" t="s">
        <v>1232</v>
      </c>
      <c r="Q27" s="169" t="s">
        <v>1233</v>
      </c>
      <c r="R27" s="169" t="s">
        <v>1708</v>
      </c>
      <c r="S27" s="2" t="s">
        <v>3021</v>
      </c>
      <c r="T27" s="2" t="s">
        <v>245</v>
      </c>
      <c r="U27" s="2" t="s">
        <v>246</v>
      </c>
      <c r="V27" s="2" t="s">
        <v>250</v>
      </c>
      <c r="W27" s="2" t="s">
        <v>1206</v>
      </c>
    </row>
    <row r="28" spans="1:263" s="8" customFormat="1" ht="12.6" customHeight="1">
      <c r="A28" s="285">
        <v>2025</v>
      </c>
      <c r="B28" s="68">
        <v>8</v>
      </c>
      <c r="C28" s="69" t="s">
        <v>13</v>
      </c>
      <c r="D28" s="72">
        <f>+I28+W28</f>
        <v>0</v>
      </c>
      <c r="E28" s="275"/>
      <c r="F28" s="275"/>
      <c r="G28" s="275"/>
      <c r="H28" s="275"/>
      <c r="I28" s="71">
        <f t="shared" ref="I28" si="9">SUM(I29:I32)</f>
        <v>0</v>
      </c>
      <c r="J28" s="275"/>
      <c r="K28" s="275"/>
      <c r="L28" s="275"/>
      <c r="M28" s="275"/>
      <c r="N28" s="275"/>
      <c r="O28" s="275"/>
      <c r="P28" s="275"/>
      <c r="Q28" s="275"/>
      <c r="R28" s="275"/>
      <c r="S28" s="275"/>
      <c r="T28" s="275"/>
      <c r="U28" s="275"/>
      <c r="V28" s="275"/>
      <c r="W28" s="71">
        <f t="shared" ref="W28" si="10">SUM(W29:W32)</f>
        <v>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1" customFormat="1">
      <c r="A29" s="285">
        <v>2025</v>
      </c>
      <c r="B29" s="50">
        <v>81</v>
      </c>
      <c r="C29" s="51" t="s">
        <v>5107</v>
      </c>
      <c r="D29" s="30">
        <f>+I29+W29</f>
        <v>0</v>
      </c>
      <c r="E29" s="275"/>
      <c r="F29" s="275"/>
      <c r="G29" s="275"/>
      <c r="H29" s="275"/>
      <c r="I29" s="126">
        <f>SUMIFS('Unos prihoda i primitaka'!$I$3:$I$501,'Unos prihoda i primitaka'!$C$3:$C$501,"=43",'Unos prihoda i primitaka'!$L$3:$L$501,"=81")</f>
        <v>0</v>
      </c>
      <c r="J29" s="275"/>
      <c r="K29" s="275"/>
      <c r="L29" s="275"/>
      <c r="M29" s="275"/>
      <c r="N29" s="275"/>
      <c r="O29" s="275"/>
      <c r="P29" s="275"/>
      <c r="Q29" s="275"/>
      <c r="R29" s="275"/>
      <c r="S29" s="275"/>
      <c r="T29" s="275"/>
      <c r="U29" s="275"/>
      <c r="V29" s="275"/>
      <c r="W29" s="126">
        <f>SUMIFS('Unos prihoda i primitaka'!$I$3:$I$501,'Unos prihoda i primitaka'!$C$3:$C$501,"=81",'Unos prihoda i primitaka'!$L$3:$L$501,"=81")</f>
        <v>0</v>
      </c>
    </row>
    <row r="30" spans="1:263" s="41" customFormat="1">
      <c r="A30" s="285">
        <v>2025</v>
      </c>
      <c r="B30" s="50">
        <v>82</v>
      </c>
      <c r="C30" s="51" t="s">
        <v>5108</v>
      </c>
      <c r="D30" s="30">
        <f t="shared" ref="D30:D32" si="11">+I30+W30</f>
        <v>0</v>
      </c>
      <c r="E30" s="275"/>
      <c r="F30" s="275"/>
      <c r="G30" s="275"/>
      <c r="H30" s="275"/>
      <c r="I30" s="126">
        <f>SUMIFS('Unos prihoda i primitaka'!$I$3:$I$501,'Unos prihoda i primitaka'!$C$3:$C$501,"=43",'Unos prihoda i primitaka'!$L$3:$L$501,"=82")</f>
        <v>0</v>
      </c>
      <c r="J30" s="275"/>
      <c r="K30" s="275"/>
      <c r="L30" s="275"/>
      <c r="M30" s="275"/>
      <c r="N30" s="275"/>
      <c r="O30" s="275"/>
      <c r="P30" s="275"/>
      <c r="Q30" s="275"/>
      <c r="R30" s="275"/>
      <c r="S30" s="275"/>
      <c r="T30" s="275"/>
      <c r="U30" s="275"/>
      <c r="V30" s="275"/>
      <c r="W30" s="126">
        <f>SUMIFS('Unos prihoda i primitaka'!$I$3:$I$501,'Unos prihoda i primitaka'!$C$3:$C$501,"=81",'Unos prihoda i primitaka'!$L$3:$L$501,"=82")</f>
        <v>0</v>
      </c>
    </row>
    <row r="31" spans="1:263" s="41" customFormat="1">
      <c r="A31" s="285">
        <v>2025</v>
      </c>
      <c r="B31" s="50">
        <v>83</v>
      </c>
      <c r="C31" s="51" t="s">
        <v>5109</v>
      </c>
      <c r="D31" s="30">
        <f t="shared" si="11"/>
        <v>0</v>
      </c>
      <c r="E31" s="275"/>
      <c r="F31" s="275"/>
      <c r="G31" s="275"/>
      <c r="H31" s="275"/>
      <c r="I31" s="126">
        <f>SUMIFS('Unos prihoda i primitaka'!$I$3:$I$501,'Unos prihoda i primitaka'!$C$3:$C$501,"=43",'Unos prihoda i primitaka'!$L$3:$L$501,"=83")</f>
        <v>0</v>
      </c>
      <c r="J31" s="275"/>
      <c r="K31" s="275"/>
      <c r="L31" s="275"/>
      <c r="M31" s="275"/>
      <c r="N31" s="275"/>
      <c r="O31" s="275"/>
      <c r="P31" s="275"/>
      <c r="Q31" s="275"/>
      <c r="R31" s="275"/>
      <c r="S31" s="275"/>
      <c r="T31" s="275"/>
      <c r="U31" s="275"/>
      <c r="V31" s="275"/>
      <c r="W31" s="126">
        <f>SUMIFS('Unos prihoda i primitaka'!$I$3:$I$501,'Unos prihoda i primitaka'!$C$3:$C$501,"=81",'Unos prihoda i primitaka'!$L$3:$L$501,"=83")</f>
        <v>0</v>
      </c>
    </row>
    <row r="32" spans="1:263" s="41" customFormat="1">
      <c r="A32" s="285">
        <v>2025</v>
      </c>
      <c r="B32" s="50">
        <v>84</v>
      </c>
      <c r="C32" s="51" t="s">
        <v>5110</v>
      </c>
      <c r="D32" s="30">
        <f t="shared" si="11"/>
        <v>0</v>
      </c>
      <c r="E32" s="275"/>
      <c r="F32" s="275"/>
      <c r="G32" s="275"/>
      <c r="H32" s="275"/>
      <c r="I32" s="126">
        <f>SUMIFS('Unos prihoda i primitaka'!$I$3:$I$501,'Unos prihoda i primitaka'!$C$3:$C$501,"=43",'Unos prihoda i primitaka'!$L$3:$L$501,"=84")</f>
        <v>0</v>
      </c>
      <c r="J32" s="275"/>
      <c r="K32" s="275"/>
      <c r="L32" s="275"/>
      <c r="M32" s="275"/>
      <c r="N32" s="275"/>
      <c r="O32" s="275"/>
      <c r="P32" s="275"/>
      <c r="Q32" s="275"/>
      <c r="R32" s="275"/>
      <c r="S32" s="275"/>
      <c r="T32" s="275"/>
      <c r="U32" s="275"/>
      <c r="V32" s="275"/>
      <c r="W32" s="126">
        <f>SUMIFS('Unos prihoda i primitaka'!$I$3:$I$501,'Unos prihoda i primitaka'!$C$3:$C$501,"=81",'Unos prihoda i primitaka'!$L$3:$L$501,"=84")</f>
        <v>0</v>
      </c>
    </row>
    <row r="33" spans="1:263" s="8" customFormat="1" ht="12.6" customHeight="1">
      <c r="A33" s="285">
        <v>2025</v>
      </c>
      <c r="B33" s="68">
        <v>5</v>
      </c>
      <c r="C33" s="69" t="s">
        <v>14</v>
      </c>
      <c r="D33" s="72">
        <f>SUM(E33:W33)</f>
        <v>0</v>
      </c>
      <c r="E33" s="71">
        <f>+E34+E35</f>
        <v>0</v>
      </c>
      <c r="F33" s="71">
        <f t="shared" ref="F33:W33" si="12">+F34+F35</f>
        <v>0</v>
      </c>
      <c r="G33" s="71">
        <f t="shared" si="12"/>
        <v>0</v>
      </c>
      <c r="H33" s="71">
        <f t="shared" si="12"/>
        <v>0</v>
      </c>
      <c r="I33" s="71">
        <f t="shared" si="12"/>
        <v>0</v>
      </c>
      <c r="J33" s="71">
        <f t="shared" si="12"/>
        <v>0</v>
      </c>
      <c r="K33" s="71">
        <f t="shared" si="12"/>
        <v>0</v>
      </c>
      <c r="L33" s="71">
        <f t="shared" si="12"/>
        <v>0</v>
      </c>
      <c r="M33" s="71">
        <f t="shared" si="12"/>
        <v>0</v>
      </c>
      <c r="N33" s="71">
        <f t="shared" si="12"/>
        <v>0</v>
      </c>
      <c r="O33" s="71">
        <f t="shared" si="12"/>
        <v>0</v>
      </c>
      <c r="P33" s="71">
        <f t="shared" si="12"/>
        <v>0</v>
      </c>
      <c r="Q33" s="71">
        <f t="shared" si="12"/>
        <v>0</v>
      </c>
      <c r="R33" s="71">
        <f t="shared" si="12"/>
        <v>0</v>
      </c>
      <c r="S33" s="71">
        <f t="shared" si="12"/>
        <v>0</v>
      </c>
      <c r="T33" s="71">
        <f t="shared" si="12"/>
        <v>0</v>
      </c>
      <c r="U33" s="71">
        <f t="shared" si="12"/>
        <v>0</v>
      </c>
      <c r="V33" s="71">
        <f t="shared" si="12"/>
        <v>0</v>
      </c>
      <c r="W33" s="71">
        <f t="shared" si="12"/>
        <v>0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1" customFormat="1">
      <c r="A34" s="285">
        <v>2025</v>
      </c>
      <c r="B34" s="50">
        <v>51</v>
      </c>
      <c r="C34" s="51" t="s">
        <v>261</v>
      </c>
      <c r="D34" s="30">
        <f t="shared" ref="D34:D35" si="13">SUM(E34:W34)</f>
        <v>0</v>
      </c>
      <c r="E34" s="82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F34" s="82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G34" s="82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H34" s="82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I34" s="82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J34" s="82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K34" s="82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L34" s="82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M34" s="82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N34" s="82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O34" s="82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P34" s="82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Q34" s="82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R34" s="82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S34" s="82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T34" s="82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U34" s="82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V34" s="82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W34" s="82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3" s="41" customFormat="1">
      <c r="A35" s="285">
        <v>2025</v>
      </c>
      <c r="B35" s="50">
        <v>54</v>
      </c>
      <c r="C35" s="51" t="s">
        <v>262</v>
      </c>
      <c r="D35" s="30">
        <f t="shared" si="13"/>
        <v>0</v>
      </c>
      <c r="E35" s="82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F35" s="82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G35" s="82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H35" s="82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I35" s="82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J35" s="82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K35" s="82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L35" s="82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M35" s="82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N35" s="82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O35" s="82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P35" s="82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Q35" s="82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R35" s="82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S35" s="82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T35" s="82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U35" s="82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V35" s="82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W35" s="82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3">
      <c r="B36" s="23"/>
      <c r="C36" s="23"/>
      <c r="D36" s="23"/>
      <c r="E36" s="23"/>
      <c r="F36" s="23"/>
      <c r="G36" s="23"/>
      <c r="H36" s="23"/>
      <c r="I36" s="52"/>
      <c r="J36" s="53"/>
      <c r="K36" s="53"/>
      <c r="L36" s="53"/>
      <c r="M36" s="53"/>
      <c r="N36" s="53"/>
      <c r="O36" s="53"/>
      <c r="P36" s="53"/>
      <c r="Q36" s="53"/>
      <c r="R36" s="53"/>
      <c r="S36" s="42"/>
      <c r="W36" s="42"/>
    </row>
    <row r="37" spans="1:263">
      <c r="G37" s="5"/>
      <c r="H37" s="5"/>
      <c r="I37" s="24"/>
      <c r="J37" s="54"/>
      <c r="K37" s="54"/>
      <c r="L37" s="54"/>
      <c r="M37" s="54"/>
      <c r="N37" s="54"/>
      <c r="O37" s="54"/>
      <c r="P37" s="54"/>
      <c r="Q37" s="54"/>
      <c r="R37" s="54"/>
    </row>
    <row r="38" spans="1:263">
      <c r="G38" s="5"/>
      <c r="H38" s="5"/>
      <c r="I38" s="55"/>
      <c r="J38" s="56"/>
      <c r="K38" s="56"/>
      <c r="L38" s="56"/>
      <c r="M38" s="56"/>
      <c r="N38" s="56"/>
      <c r="O38" s="56"/>
      <c r="P38" s="56"/>
      <c r="Q38" s="56"/>
      <c r="R38" s="56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57"/>
      <c r="K46" s="57"/>
      <c r="L46" s="57"/>
      <c r="M46" s="57"/>
      <c r="N46" s="57"/>
      <c r="O46" s="57"/>
      <c r="P46" s="57"/>
      <c r="Q46" s="57"/>
      <c r="R46" s="57"/>
    </row>
    <row r="47" spans="1:263">
      <c r="I47" s="55"/>
      <c r="J47" s="58"/>
      <c r="K47" s="58"/>
      <c r="L47" s="58"/>
      <c r="M47" s="58"/>
      <c r="N47" s="58"/>
      <c r="O47" s="58"/>
      <c r="P47" s="58"/>
      <c r="Q47" s="58"/>
      <c r="R47" s="58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/>
  <dimension ref="A1:H324"/>
  <sheetViews>
    <sheetView workbookViewId="0">
      <selection activeCell="A3" sqref="A3:H324"/>
    </sheetView>
  </sheetViews>
  <sheetFormatPr defaultRowHeight="15"/>
  <cols>
    <col min="1" max="1" width="14" customWidth="1"/>
    <col min="2" max="2" width="41.42578125" customWidth="1"/>
    <col min="4" max="4" width="62.7109375" customWidth="1"/>
    <col min="5" max="5" width="9.140625" style="251"/>
    <col min="6" max="6" width="43.140625" bestFit="1" customWidth="1"/>
    <col min="7" max="8" width="9.28515625" style="262" customWidth="1"/>
  </cols>
  <sheetData>
    <row r="1" spans="1:8" ht="25.5">
      <c r="A1" s="172" t="s">
        <v>933</v>
      </c>
      <c r="B1" s="171" t="s">
        <v>493</v>
      </c>
    </row>
    <row r="2" spans="1:8">
      <c r="A2" s="137" t="s">
        <v>943</v>
      </c>
      <c r="B2" s="145" t="s">
        <v>944</v>
      </c>
    </row>
    <row r="3" spans="1:8">
      <c r="A3" s="260" t="s">
        <v>5148</v>
      </c>
      <c r="B3" s="260" t="s">
        <v>5274</v>
      </c>
      <c r="C3" s="260" t="s">
        <v>5149</v>
      </c>
      <c r="D3" s="260" t="s">
        <v>5274</v>
      </c>
      <c r="E3" s="276" t="s">
        <v>5150</v>
      </c>
      <c r="F3" s="260" t="s">
        <v>5274</v>
      </c>
      <c r="G3" s="263" t="s">
        <v>5274</v>
      </c>
      <c r="H3" s="263" t="s">
        <v>5274</v>
      </c>
    </row>
    <row r="4" spans="1:8">
      <c r="A4" s="261" t="s">
        <v>941</v>
      </c>
      <c r="B4" s="261" t="s">
        <v>942</v>
      </c>
      <c r="C4" s="261" t="s">
        <v>1794</v>
      </c>
      <c r="D4" s="261" t="s">
        <v>1795</v>
      </c>
      <c r="E4" s="277" t="s">
        <v>5151</v>
      </c>
      <c r="F4" s="261" t="s">
        <v>5152</v>
      </c>
      <c r="G4" s="264" t="s">
        <v>5177</v>
      </c>
      <c r="H4" s="264" t="s">
        <v>5184</v>
      </c>
    </row>
    <row r="5" spans="1:8">
      <c r="A5" s="261" t="s">
        <v>941</v>
      </c>
      <c r="B5" s="261" t="s">
        <v>942</v>
      </c>
      <c r="C5" s="261" t="s">
        <v>1796</v>
      </c>
      <c r="D5" s="261" t="s">
        <v>1797</v>
      </c>
      <c r="E5" s="277" t="s">
        <v>5153</v>
      </c>
      <c r="F5" s="261" t="s">
        <v>5154</v>
      </c>
      <c r="G5" s="264" t="s">
        <v>5179</v>
      </c>
      <c r="H5" s="264" t="s">
        <v>5180</v>
      </c>
    </row>
    <row r="6" spans="1:8">
      <c r="A6" s="261" t="s">
        <v>941</v>
      </c>
      <c r="B6" s="261" t="s">
        <v>942</v>
      </c>
      <c r="C6" s="261" t="s">
        <v>1798</v>
      </c>
      <c r="D6" s="261" t="s">
        <v>1799</v>
      </c>
      <c r="E6" s="277" t="s">
        <v>5155</v>
      </c>
      <c r="F6" s="261" t="s">
        <v>5156</v>
      </c>
      <c r="G6" s="264" t="s">
        <v>5177</v>
      </c>
      <c r="H6" s="264" t="s">
        <v>5187</v>
      </c>
    </row>
    <row r="7" spans="1:8">
      <c r="A7" s="261" t="s">
        <v>941</v>
      </c>
      <c r="B7" s="261" t="s">
        <v>942</v>
      </c>
      <c r="C7" s="261" t="s">
        <v>1618</v>
      </c>
      <c r="D7" s="261" t="s">
        <v>1619</v>
      </c>
      <c r="E7" s="277" t="s">
        <v>5155</v>
      </c>
      <c r="F7" s="261" t="s">
        <v>5156</v>
      </c>
      <c r="G7" s="264" t="s">
        <v>5177</v>
      </c>
      <c r="H7" s="264" t="s">
        <v>5187</v>
      </c>
    </row>
    <row r="8" spans="1:8">
      <c r="A8" s="261" t="s">
        <v>941</v>
      </c>
      <c r="B8" s="261" t="s">
        <v>942</v>
      </c>
      <c r="C8" s="261" t="s">
        <v>1618</v>
      </c>
      <c r="D8" s="261" t="s">
        <v>1619</v>
      </c>
      <c r="E8" s="277" t="s">
        <v>5157</v>
      </c>
      <c r="F8" s="261" t="s">
        <v>5158</v>
      </c>
      <c r="G8" s="264" t="s">
        <v>5177</v>
      </c>
      <c r="H8" s="264" t="s">
        <v>5186</v>
      </c>
    </row>
    <row r="9" spans="1:8">
      <c r="A9" s="261" t="s">
        <v>941</v>
      </c>
      <c r="B9" s="261" t="s">
        <v>942</v>
      </c>
      <c r="C9" s="261" t="s">
        <v>1620</v>
      </c>
      <c r="D9" s="261" t="s">
        <v>1621</v>
      </c>
      <c r="E9" s="277" t="s">
        <v>5155</v>
      </c>
      <c r="F9" s="261" t="s">
        <v>5156</v>
      </c>
      <c r="G9" s="264" t="s">
        <v>5177</v>
      </c>
      <c r="H9" s="264" t="s">
        <v>5187</v>
      </c>
    </row>
    <row r="10" spans="1:8">
      <c r="A10" s="261" t="s">
        <v>941</v>
      </c>
      <c r="B10" s="261" t="s">
        <v>942</v>
      </c>
      <c r="C10" s="261" t="s">
        <v>1800</v>
      </c>
      <c r="D10" s="261" t="s">
        <v>1801</v>
      </c>
      <c r="E10" s="277" t="s">
        <v>5155</v>
      </c>
      <c r="F10" s="261" t="s">
        <v>5156</v>
      </c>
      <c r="G10" s="264" t="s">
        <v>5177</v>
      </c>
      <c r="H10" s="264" t="s">
        <v>5187</v>
      </c>
    </row>
    <row r="11" spans="1:8">
      <c r="A11" s="261" t="s">
        <v>941</v>
      </c>
      <c r="B11" s="261" t="s">
        <v>942</v>
      </c>
      <c r="C11" s="261" t="s">
        <v>1802</v>
      </c>
      <c r="D11" s="261" t="s">
        <v>1803</v>
      </c>
      <c r="E11" s="277" t="s">
        <v>5159</v>
      </c>
      <c r="F11" s="261" t="s">
        <v>5160</v>
      </c>
      <c r="G11" s="264" t="s">
        <v>5177</v>
      </c>
      <c r="H11" s="264" t="s">
        <v>5185</v>
      </c>
    </row>
    <row r="12" spans="1:8">
      <c r="A12" s="261" t="s">
        <v>941</v>
      </c>
      <c r="B12" s="261" t="s">
        <v>942</v>
      </c>
      <c r="C12" s="261" t="s">
        <v>1804</v>
      </c>
      <c r="D12" s="261" t="s">
        <v>1805</v>
      </c>
      <c r="E12" s="277" t="s">
        <v>5151</v>
      </c>
      <c r="F12" s="261" t="s">
        <v>5152</v>
      </c>
      <c r="G12" s="264" t="s">
        <v>5177</v>
      </c>
      <c r="H12" s="264" t="s">
        <v>5184</v>
      </c>
    </row>
    <row r="13" spans="1:8">
      <c r="A13" s="261" t="s">
        <v>941</v>
      </c>
      <c r="B13" s="261" t="s">
        <v>942</v>
      </c>
      <c r="C13" s="261" t="s">
        <v>945</v>
      </c>
      <c r="D13" s="261" t="s">
        <v>946</v>
      </c>
      <c r="E13" s="277" t="s">
        <v>5161</v>
      </c>
      <c r="F13" s="261" t="s">
        <v>5162</v>
      </c>
      <c r="G13" s="264" t="s">
        <v>5178</v>
      </c>
      <c r="H13" s="264" t="s">
        <v>5183</v>
      </c>
    </row>
    <row r="14" spans="1:8">
      <c r="A14" s="261" t="s">
        <v>941</v>
      </c>
      <c r="B14" s="261" t="s">
        <v>942</v>
      </c>
      <c r="C14" s="261" t="s">
        <v>1622</v>
      </c>
      <c r="D14" s="261" t="s">
        <v>1623</v>
      </c>
      <c r="E14" s="277" t="s">
        <v>5155</v>
      </c>
      <c r="F14" s="261" t="s">
        <v>5156</v>
      </c>
      <c r="G14" s="264" t="s">
        <v>5177</v>
      </c>
      <c r="H14" s="264" t="s">
        <v>5187</v>
      </c>
    </row>
    <row r="15" spans="1:8">
      <c r="A15" s="261" t="s">
        <v>941</v>
      </c>
      <c r="B15" s="261" t="s">
        <v>942</v>
      </c>
      <c r="C15" s="261" t="s">
        <v>947</v>
      </c>
      <c r="D15" s="261" t="s">
        <v>948</v>
      </c>
      <c r="E15" s="277" t="s">
        <v>5155</v>
      </c>
      <c r="F15" s="261" t="s">
        <v>5156</v>
      </c>
      <c r="G15" s="264" t="s">
        <v>5177</v>
      </c>
      <c r="H15" s="264" t="s">
        <v>5187</v>
      </c>
    </row>
    <row r="16" spans="1:8">
      <c r="A16" s="261" t="s">
        <v>941</v>
      </c>
      <c r="B16" s="261" t="s">
        <v>942</v>
      </c>
      <c r="C16" s="261" t="s">
        <v>1806</v>
      </c>
      <c r="D16" s="261" t="s">
        <v>1807</v>
      </c>
      <c r="E16" s="277" t="s">
        <v>5155</v>
      </c>
      <c r="F16" s="261" t="s">
        <v>5156</v>
      </c>
      <c r="G16" s="264" t="s">
        <v>5177</v>
      </c>
      <c r="H16" s="264" t="s">
        <v>5187</v>
      </c>
    </row>
    <row r="17" spans="1:8">
      <c r="A17" s="261" t="s">
        <v>941</v>
      </c>
      <c r="B17" s="261" t="s">
        <v>942</v>
      </c>
      <c r="C17" s="261" t="s">
        <v>1624</v>
      </c>
      <c r="D17" s="261" t="s">
        <v>1625</v>
      </c>
      <c r="E17" s="277" t="s">
        <v>5155</v>
      </c>
      <c r="F17" s="261" t="s">
        <v>5156</v>
      </c>
      <c r="G17" s="264" t="s">
        <v>5177</v>
      </c>
      <c r="H17" s="264" t="s">
        <v>5187</v>
      </c>
    </row>
    <row r="18" spans="1:8">
      <c r="A18" s="261" t="s">
        <v>941</v>
      </c>
      <c r="B18" s="261" t="s">
        <v>942</v>
      </c>
      <c r="C18" s="261" t="s">
        <v>1808</v>
      </c>
      <c r="D18" s="261" t="s">
        <v>1809</v>
      </c>
      <c r="E18" s="277" t="s">
        <v>5151</v>
      </c>
      <c r="F18" s="261" t="s">
        <v>5152</v>
      </c>
      <c r="G18" s="264" t="s">
        <v>5177</v>
      </c>
      <c r="H18" s="264" t="s">
        <v>5184</v>
      </c>
    </row>
    <row r="19" spans="1:8">
      <c r="A19" s="261" t="s">
        <v>941</v>
      </c>
      <c r="B19" s="261" t="s">
        <v>942</v>
      </c>
      <c r="C19" s="261" t="s">
        <v>1810</v>
      </c>
      <c r="D19" s="261" t="s">
        <v>1811</v>
      </c>
      <c r="E19" s="277" t="s">
        <v>5155</v>
      </c>
      <c r="F19" s="261" t="s">
        <v>5156</v>
      </c>
      <c r="G19" s="264" t="s">
        <v>5177</v>
      </c>
      <c r="H19" s="264" t="s">
        <v>5187</v>
      </c>
    </row>
    <row r="20" spans="1:8">
      <c r="A20" s="261" t="s">
        <v>941</v>
      </c>
      <c r="B20" s="261" t="s">
        <v>942</v>
      </c>
      <c r="C20" s="261" t="s">
        <v>1812</v>
      </c>
      <c r="D20" s="261" t="s">
        <v>1813</v>
      </c>
      <c r="E20" s="277" t="s">
        <v>5157</v>
      </c>
      <c r="F20" s="261" t="s">
        <v>5158</v>
      </c>
      <c r="G20" s="264" t="s">
        <v>5177</v>
      </c>
      <c r="H20" s="264" t="s">
        <v>5186</v>
      </c>
    </row>
    <row r="21" spans="1:8">
      <c r="A21" s="261" t="s">
        <v>941</v>
      </c>
      <c r="B21" s="261" t="s">
        <v>942</v>
      </c>
      <c r="C21" s="261" t="s">
        <v>1814</v>
      </c>
      <c r="D21" s="261" t="s">
        <v>1815</v>
      </c>
      <c r="E21" s="277" t="s">
        <v>5163</v>
      </c>
      <c r="F21" s="261" t="s">
        <v>5164</v>
      </c>
      <c r="G21" s="264" t="s">
        <v>5177</v>
      </c>
      <c r="H21" s="264" t="s">
        <v>5184</v>
      </c>
    </row>
    <row r="22" spans="1:8">
      <c r="A22" s="261" t="s">
        <v>941</v>
      </c>
      <c r="B22" s="261" t="s">
        <v>942</v>
      </c>
      <c r="C22" s="261" t="s">
        <v>1816</v>
      </c>
      <c r="D22" s="261" t="s">
        <v>1817</v>
      </c>
      <c r="E22" s="277" t="s">
        <v>5163</v>
      </c>
      <c r="F22" s="261" t="s">
        <v>5164</v>
      </c>
      <c r="G22" s="264" t="s">
        <v>5177</v>
      </c>
      <c r="H22" s="264" t="s">
        <v>5184</v>
      </c>
    </row>
    <row r="23" spans="1:8">
      <c r="A23" s="261" t="s">
        <v>941</v>
      </c>
      <c r="B23" s="261" t="s">
        <v>942</v>
      </c>
      <c r="C23" s="261" t="s">
        <v>1818</v>
      </c>
      <c r="D23" s="261" t="s">
        <v>1819</v>
      </c>
      <c r="E23" s="277" t="s">
        <v>5163</v>
      </c>
      <c r="F23" s="261" t="s">
        <v>5164</v>
      </c>
      <c r="G23" s="264" t="s">
        <v>5177</v>
      </c>
      <c r="H23" s="264" t="s">
        <v>5184</v>
      </c>
    </row>
    <row r="24" spans="1:8">
      <c r="A24" s="261" t="s">
        <v>941</v>
      </c>
      <c r="B24" s="261" t="s">
        <v>942</v>
      </c>
      <c r="C24" s="261" t="s">
        <v>1820</v>
      </c>
      <c r="D24" s="261" t="s">
        <v>1821</v>
      </c>
      <c r="E24" s="277" t="s">
        <v>5163</v>
      </c>
      <c r="F24" s="261" t="s">
        <v>5164</v>
      </c>
      <c r="G24" s="264" t="s">
        <v>5177</v>
      </c>
      <c r="H24" s="264" t="s">
        <v>5184</v>
      </c>
    </row>
    <row r="25" spans="1:8">
      <c r="A25" s="261" t="s">
        <v>941</v>
      </c>
      <c r="B25" s="261" t="s">
        <v>942</v>
      </c>
      <c r="C25" s="261" t="s">
        <v>949</v>
      </c>
      <c r="D25" s="261" t="s">
        <v>950</v>
      </c>
      <c r="E25" s="277" t="s">
        <v>5155</v>
      </c>
      <c r="F25" s="261" t="s">
        <v>5156</v>
      </c>
      <c r="G25" s="264" t="s">
        <v>5177</v>
      </c>
      <c r="H25" s="264" t="s">
        <v>5187</v>
      </c>
    </row>
    <row r="26" spans="1:8">
      <c r="A26" s="261" t="s">
        <v>941</v>
      </c>
      <c r="B26" s="261" t="s">
        <v>942</v>
      </c>
      <c r="C26" s="261" t="s">
        <v>1822</v>
      </c>
      <c r="D26" s="261" t="s">
        <v>1823</v>
      </c>
      <c r="E26" s="277" t="s">
        <v>5157</v>
      </c>
      <c r="F26" s="261" t="s">
        <v>5158</v>
      </c>
      <c r="G26" s="264" t="s">
        <v>5177</v>
      </c>
      <c r="H26" s="264" t="s">
        <v>5186</v>
      </c>
    </row>
    <row r="27" spans="1:8">
      <c r="A27" s="261" t="s">
        <v>941</v>
      </c>
      <c r="B27" s="261" t="s">
        <v>942</v>
      </c>
      <c r="C27" s="261" t="s">
        <v>1824</v>
      </c>
      <c r="D27" s="261" t="s">
        <v>1825</v>
      </c>
      <c r="E27" s="277" t="s">
        <v>5155</v>
      </c>
      <c r="F27" s="261" t="s">
        <v>5156</v>
      </c>
      <c r="G27" s="264" t="s">
        <v>5177</v>
      </c>
      <c r="H27" s="264" t="s">
        <v>5187</v>
      </c>
    </row>
    <row r="28" spans="1:8">
      <c r="A28" s="261" t="s">
        <v>941</v>
      </c>
      <c r="B28" s="261" t="s">
        <v>942</v>
      </c>
      <c r="C28" s="261" t="s">
        <v>1826</v>
      </c>
      <c r="D28" s="261" t="s">
        <v>1827</v>
      </c>
      <c r="E28" s="277" t="s">
        <v>5153</v>
      </c>
      <c r="F28" s="261" t="s">
        <v>5154</v>
      </c>
      <c r="G28" s="264" t="s">
        <v>5179</v>
      </c>
      <c r="H28" s="264" t="s">
        <v>5180</v>
      </c>
    </row>
    <row r="29" spans="1:8">
      <c r="A29" s="261" t="s">
        <v>941</v>
      </c>
      <c r="B29" s="261" t="s">
        <v>942</v>
      </c>
      <c r="C29" s="261" t="s">
        <v>1828</v>
      </c>
      <c r="D29" s="261" t="s">
        <v>1829</v>
      </c>
      <c r="E29" s="277" t="s">
        <v>5153</v>
      </c>
      <c r="F29" s="261" t="s">
        <v>5154</v>
      </c>
      <c r="G29" s="264" t="s">
        <v>5179</v>
      </c>
      <c r="H29" s="264" t="s">
        <v>5180</v>
      </c>
    </row>
    <row r="30" spans="1:8">
      <c r="A30" s="261" t="s">
        <v>941</v>
      </c>
      <c r="B30" s="261" t="s">
        <v>942</v>
      </c>
      <c r="C30" s="261" t="s">
        <v>1830</v>
      </c>
      <c r="D30" s="261" t="s">
        <v>1831</v>
      </c>
      <c r="E30" s="277" t="s">
        <v>5155</v>
      </c>
      <c r="F30" s="261" t="s">
        <v>5156</v>
      </c>
      <c r="G30" s="264" t="s">
        <v>5177</v>
      </c>
      <c r="H30" s="264" t="s">
        <v>5187</v>
      </c>
    </row>
    <row r="31" spans="1:8">
      <c r="A31" s="261" t="s">
        <v>941</v>
      </c>
      <c r="B31" s="261" t="s">
        <v>942</v>
      </c>
      <c r="C31" s="261" t="s">
        <v>1832</v>
      </c>
      <c r="D31" s="261" t="s">
        <v>1833</v>
      </c>
      <c r="E31" s="277" t="s">
        <v>5153</v>
      </c>
      <c r="F31" s="261" t="s">
        <v>5154</v>
      </c>
      <c r="G31" s="264" t="s">
        <v>5179</v>
      </c>
      <c r="H31" s="264" t="s">
        <v>5180</v>
      </c>
    </row>
    <row r="32" spans="1:8">
      <c r="A32" s="261" t="s">
        <v>941</v>
      </c>
      <c r="B32" s="261" t="s">
        <v>942</v>
      </c>
      <c r="C32" s="261" t="s">
        <v>1626</v>
      </c>
      <c r="D32" s="261" t="s">
        <v>1627</v>
      </c>
      <c r="E32" s="277" t="s">
        <v>5155</v>
      </c>
      <c r="F32" s="261" t="s">
        <v>5156</v>
      </c>
      <c r="G32" s="264" t="s">
        <v>5177</v>
      </c>
      <c r="H32" s="264" t="s">
        <v>5187</v>
      </c>
    </row>
    <row r="33" spans="1:8">
      <c r="A33" s="261" t="s">
        <v>941</v>
      </c>
      <c r="B33" s="261" t="s">
        <v>942</v>
      </c>
      <c r="C33" s="261" t="s">
        <v>1628</v>
      </c>
      <c r="D33" s="261" t="s">
        <v>1629</v>
      </c>
      <c r="E33" s="277" t="s">
        <v>5155</v>
      </c>
      <c r="F33" s="261" t="s">
        <v>5156</v>
      </c>
      <c r="G33" s="264" t="s">
        <v>5177</v>
      </c>
      <c r="H33" s="264" t="s">
        <v>5187</v>
      </c>
    </row>
    <row r="34" spans="1:8">
      <c r="A34" s="261" t="s">
        <v>941</v>
      </c>
      <c r="B34" s="261" t="s">
        <v>942</v>
      </c>
      <c r="C34" s="261" t="s">
        <v>1834</v>
      </c>
      <c r="D34" s="261" t="s">
        <v>1835</v>
      </c>
      <c r="E34" s="277" t="s">
        <v>5155</v>
      </c>
      <c r="F34" s="261" t="s">
        <v>5156</v>
      </c>
      <c r="G34" s="264" t="s">
        <v>5177</v>
      </c>
      <c r="H34" s="264" t="s">
        <v>5187</v>
      </c>
    </row>
    <row r="35" spans="1:8">
      <c r="A35" s="261" t="s">
        <v>941</v>
      </c>
      <c r="B35" s="261" t="s">
        <v>942</v>
      </c>
      <c r="C35" s="261" t="s">
        <v>1836</v>
      </c>
      <c r="D35" s="261" t="s">
        <v>1837</v>
      </c>
      <c r="E35" s="277" t="s">
        <v>5165</v>
      </c>
      <c r="F35" s="261" t="s">
        <v>5166</v>
      </c>
      <c r="G35" s="264" t="s">
        <v>5179</v>
      </c>
      <c r="H35" s="264" t="s">
        <v>5192</v>
      </c>
    </row>
    <row r="36" spans="1:8">
      <c r="A36" s="261" t="s">
        <v>941</v>
      </c>
      <c r="B36" s="261" t="s">
        <v>942</v>
      </c>
      <c r="C36" s="261" t="s">
        <v>1836</v>
      </c>
      <c r="D36" s="261" t="s">
        <v>1837</v>
      </c>
      <c r="E36" s="277" t="s">
        <v>5151</v>
      </c>
      <c r="F36" s="261" t="s">
        <v>5152</v>
      </c>
      <c r="G36" s="264" t="s">
        <v>5177</v>
      </c>
      <c r="H36" s="264" t="s">
        <v>5184</v>
      </c>
    </row>
    <row r="37" spans="1:8">
      <c r="A37" s="261" t="s">
        <v>941</v>
      </c>
      <c r="B37" s="261" t="s">
        <v>942</v>
      </c>
      <c r="C37" s="261" t="s">
        <v>1838</v>
      </c>
      <c r="D37" s="261" t="s">
        <v>1839</v>
      </c>
      <c r="E37" s="277" t="s">
        <v>5151</v>
      </c>
      <c r="F37" s="261" t="s">
        <v>5152</v>
      </c>
      <c r="G37" s="264" t="s">
        <v>5177</v>
      </c>
      <c r="H37" s="264" t="s">
        <v>5184</v>
      </c>
    </row>
    <row r="38" spans="1:8">
      <c r="A38" s="261" t="s">
        <v>941</v>
      </c>
      <c r="B38" s="261" t="s">
        <v>942</v>
      </c>
      <c r="C38" s="261" t="s">
        <v>1840</v>
      </c>
      <c r="D38" s="261" t="s">
        <v>1841</v>
      </c>
      <c r="E38" s="277" t="s">
        <v>5155</v>
      </c>
      <c r="F38" s="261" t="s">
        <v>5156</v>
      </c>
      <c r="G38" s="264" t="s">
        <v>5177</v>
      </c>
      <c r="H38" s="264" t="s">
        <v>5187</v>
      </c>
    </row>
    <row r="39" spans="1:8">
      <c r="A39" s="261" t="s">
        <v>941</v>
      </c>
      <c r="B39" s="261" t="s">
        <v>942</v>
      </c>
      <c r="C39" s="261" t="s">
        <v>1842</v>
      </c>
      <c r="D39" s="261" t="s">
        <v>934</v>
      </c>
      <c r="E39" s="277" t="s">
        <v>5165</v>
      </c>
      <c r="F39" s="261" t="s">
        <v>5166</v>
      </c>
      <c r="G39" s="264" t="s">
        <v>5179</v>
      </c>
      <c r="H39" s="264" t="s">
        <v>5192</v>
      </c>
    </row>
    <row r="40" spans="1:8">
      <c r="A40" s="261" t="s">
        <v>941</v>
      </c>
      <c r="B40" s="261" t="s">
        <v>942</v>
      </c>
      <c r="C40" s="261" t="s">
        <v>1842</v>
      </c>
      <c r="D40" s="261" t="s">
        <v>934</v>
      </c>
      <c r="E40" s="277" t="s">
        <v>5151</v>
      </c>
      <c r="F40" s="261" t="s">
        <v>5152</v>
      </c>
      <c r="G40" s="264" t="s">
        <v>5177</v>
      </c>
      <c r="H40" s="264" t="s">
        <v>5184</v>
      </c>
    </row>
    <row r="41" spans="1:8">
      <c r="A41" s="261" t="s">
        <v>941</v>
      </c>
      <c r="B41" s="261" t="s">
        <v>942</v>
      </c>
      <c r="C41" s="261" t="s">
        <v>1630</v>
      </c>
      <c r="D41" s="261" t="s">
        <v>1631</v>
      </c>
      <c r="E41" s="277" t="s">
        <v>5151</v>
      </c>
      <c r="F41" s="261" t="s">
        <v>5152</v>
      </c>
      <c r="G41" s="264" t="s">
        <v>5177</v>
      </c>
      <c r="H41" s="264" t="s">
        <v>5184</v>
      </c>
    </row>
    <row r="42" spans="1:8">
      <c r="A42" s="261" t="s">
        <v>941</v>
      </c>
      <c r="B42" s="261" t="s">
        <v>942</v>
      </c>
      <c r="C42" s="261" t="s">
        <v>1843</v>
      </c>
      <c r="D42" s="261" t="s">
        <v>1844</v>
      </c>
      <c r="E42" s="277" t="s">
        <v>5165</v>
      </c>
      <c r="F42" s="261" t="s">
        <v>5166</v>
      </c>
      <c r="G42" s="264" t="s">
        <v>5179</v>
      </c>
      <c r="H42" s="264" t="s">
        <v>5192</v>
      </c>
    </row>
    <row r="43" spans="1:8">
      <c r="A43" s="261" t="s">
        <v>941</v>
      </c>
      <c r="B43" s="261" t="s">
        <v>942</v>
      </c>
      <c r="C43" s="261" t="s">
        <v>1843</v>
      </c>
      <c r="D43" s="261" t="s">
        <v>1844</v>
      </c>
      <c r="E43" s="277" t="s">
        <v>5167</v>
      </c>
      <c r="F43" s="261" t="s">
        <v>5168</v>
      </c>
      <c r="G43" s="264" t="s">
        <v>5177</v>
      </c>
      <c r="H43" s="264" t="s">
        <v>5188</v>
      </c>
    </row>
    <row r="44" spans="1:8">
      <c r="A44" s="261" t="s">
        <v>941</v>
      </c>
      <c r="B44" s="261" t="s">
        <v>942</v>
      </c>
      <c r="C44" s="261" t="s">
        <v>1845</v>
      </c>
      <c r="D44" s="261" t="s">
        <v>1846</v>
      </c>
      <c r="E44" s="277" t="s">
        <v>5167</v>
      </c>
      <c r="F44" s="261" t="s">
        <v>5168</v>
      </c>
      <c r="G44" s="264" t="s">
        <v>5177</v>
      </c>
      <c r="H44" s="264" t="s">
        <v>5188</v>
      </c>
    </row>
    <row r="45" spans="1:8">
      <c r="A45" s="261" t="s">
        <v>941</v>
      </c>
      <c r="B45" s="261" t="s">
        <v>942</v>
      </c>
      <c r="C45" s="261" t="s">
        <v>1847</v>
      </c>
      <c r="D45" s="261" t="s">
        <v>1848</v>
      </c>
      <c r="E45" s="277" t="s">
        <v>5167</v>
      </c>
      <c r="F45" s="261" t="s">
        <v>5168</v>
      </c>
      <c r="G45" s="264" t="s">
        <v>5177</v>
      </c>
      <c r="H45" s="264" t="s">
        <v>5188</v>
      </c>
    </row>
    <row r="46" spans="1:8">
      <c r="A46" s="261" t="s">
        <v>941</v>
      </c>
      <c r="B46" s="261" t="s">
        <v>942</v>
      </c>
      <c r="C46" s="261" t="s">
        <v>1849</v>
      </c>
      <c r="D46" s="261" t="s">
        <v>934</v>
      </c>
      <c r="E46" s="277" t="s">
        <v>5165</v>
      </c>
      <c r="F46" s="261" t="s">
        <v>5166</v>
      </c>
      <c r="G46" s="264" t="s">
        <v>5179</v>
      </c>
      <c r="H46" s="264" t="s">
        <v>5192</v>
      </c>
    </row>
    <row r="47" spans="1:8">
      <c r="A47" s="261" t="s">
        <v>941</v>
      </c>
      <c r="B47" s="261" t="s">
        <v>942</v>
      </c>
      <c r="C47" s="261" t="s">
        <v>1632</v>
      </c>
      <c r="D47" s="261" t="s">
        <v>1117</v>
      </c>
      <c r="E47" s="277" t="s">
        <v>5167</v>
      </c>
      <c r="F47" s="261" t="s">
        <v>5168</v>
      </c>
      <c r="G47" s="264" t="s">
        <v>5177</v>
      </c>
      <c r="H47" s="264" t="s">
        <v>5188</v>
      </c>
    </row>
    <row r="48" spans="1:8">
      <c r="A48" s="261" t="s">
        <v>941</v>
      </c>
      <c r="B48" s="261" t="s">
        <v>942</v>
      </c>
      <c r="C48" s="261" t="s">
        <v>1850</v>
      </c>
      <c r="D48" s="261" t="s">
        <v>1851</v>
      </c>
      <c r="E48" s="277" t="s">
        <v>5167</v>
      </c>
      <c r="F48" s="261" t="s">
        <v>5168</v>
      </c>
      <c r="G48" s="264" t="s">
        <v>5177</v>
      </c>
      <c r="H48" s="264" t="s">
        <v>5188</v>
      </c>
    </row>
    <row r="49" spans="1:8">
      <c r="A49" s="261" t="s">
        <v>941</v>
      </c>
      <c r="B49" s="261" t="s">
        <v>942</v>
      </c>
      <c r="C49" s="261" t="s">
        <v>1633</v>
      </c>
      <c r="D49" s="261" t="s">
        <v>1634</v>
      </c>
      <c r="E49" s="277" t="s">
        <v>5167</v>
      </c>
      <c r="F49" s="261" t="s">
        <v>5168</v>
      </c>
      <c r="G49" s="264" t="s">
        <v>5177</v>
      </c>
      <c r="H49" s="264" t="s">
        <v>5188</v>
      </c>
    </row>
    <row r="50" spans="1:8">
      <c r="A50" s="261" t="s">
        <v>941</v>
      </c>
      <c r="B50" s="261" t="s">
        <v>942</v>
      </c>
      <c r="C50" s="261" t="s">
        <v>1852</v>
      </c>
      <c r="D50" s="261" t="s">
        <v>1853</v>
      </c>
      <c r="E50" s="277" t="s">
        <v>5169</v>
      </c>
      <c r="F50" s="261" t="s">
        <v>5170</v>
      </c>
      <c r="G50" s="264" t="s">
        <v>5177</v>
      </c>
      <c r="H50" s="264" t="s">
        <v>5190</v>
      </c>
    </row>
    <row r="51" spans="1:8">
      <c r="A51" s="261" t="s">
        <v>941</v>
      </c>
      <c r="B51" s="261" t="s">
        <v>942</v>
      </c>
      <c r="C51" s="261" t="s">
        <v>1854</v>
      </c>
      <c r="D51" s="261" t="s">
        <v>1855</v>
      </c>
      <c r="E51" s="277" t="s">
        <v>5169</v>
      </c>
      <c r="F51" s="261" t="s">
        <v>5170</v>
      </c>
      <c r="G51" s="264" t="s">
        <v>5177</v>
      </c>
      <c r="H51" s="264" t="s">
        <v>5190</v>
      </c>
    </row>
    <row r="52" spans="1:8">
      <c r="A52" s="261" t="s">
        <v>941</v>
      </c>
      <c r="B52" s="261" t="s">
        <v>942</v>
      </c>
      <c r="C52" s="261" t="s">
        <v>1856</v>
      </c>
      <c r="D52" s="261" t="s">
        <v>1857</v>
      </c>
      <c r="E52" s="277" t="s">
        <v>5169</v>
      </c>
      <c r="F52" s="261" t="s">
        <v>5170</v>
      </c>
      <c r="G52" s="264" t="s">
        <v>5177</v>
      </c>
      <c r="H52" s="264" t="s">
        <v>5190</v>
      </c>
    </row>
    <row r="53" spans="1:8">
      <c r="A53" s="261" t="s">
        <v>941</v>
      </c>
      <c r="B53" s="261" t="s">
        <v>942</v>
      </c>
      <c r="C53" s="261" t="s">
        <v>1858</v>
      </c>
      <c r="D53" s="261" t="s">
        <v>1859</v>
      </c>
      <c r="E53" s="277" t="s">
        <v>5169</v>
      </c>
      <c r="F53" s="261" t="s">
        <v>5170</v>
      </c>
      <c r="G53" s="264" t="s">
        <v>5177</v>
      </c>
      <c r="H53" s="264" t="s">
        <v>5190</v>
      </c>
    </row>
    <row r="54" spans="1:8">
      <c r="A54" s="261" t="s">
        <v>941</v>
      </c>
      <c r="B54" s="261" t="s">
        <v>942</v>
      </c>
      <c r="C54" s="261" t="s">
        <v>1860</v>
      </c>
      <c r="D54" s="261" t="s">
        <v>1861</v>
      </c>
      <c r="E54" s="277" t="s">
        <v>5169</v>
      </c>
      <c r="F54" s="261" t="s">
        <v>5170</v>
      </c>
      <c r="G54" s="264" t="s">
        <v>5177</v>
      </c>
      <c r="H54" s="264" t="s">
        <v>5190</v>
      </c>
    </row>
    <row r="55" spans="1:8">
      <c r="A55" s="261" t="s">
        <v>941</v>
      </c>
      <c r="B55" s="261" t="s">
        <v>942</v>
      </c>
      <c r="C55" s="261" t="s">
        <v>1862</v>
      </c>
      <c r="D55" s="261" t="s">
        <v>1863</v>
      </c>
      <c r="E55" s="277" t="s">
        <v>5169</v>
      </c>
      <c r="F55" s="261" t="s">
        <v>5170</v>
      </c>
      <c r="G55" s="264" t="s">
        <v>5177</v>
      </c>
      <c r="H55" s="264" t="s">
        <v>5190</v>
      </c>
    </row>
    <row r="56" spans="1:8">
      <c r="A56" s="261" t="s">
        <v>941</v>
      </c>
      <c r="B56" s="261" t="s">
        <v>942</v>
      </c>
      <c r="C56" s="261" t="s">
        <v>1864</v>
      </c>
      <c r="D56" s="261" t="s">
        <v>1865</v>
      </c>
      <c r="E56" s="277" t="s">
        <v>5169</v>
      </c>
      <c r="F56" s="261" t="s">
        <v>5170</v>
      </c>
      <c r="G56" s="264" t="s">
        <v>5177</v>
      </c>
      <c r="H56" s="264" t="s">
        <v>5190</v>
      </c>
    </row>
    <row r="57" spans="1:8">
      <c r="A57" s="261" t="s">
        <v>941</v>
      </c>
      <c r="B57" s="261" t="s">
        <v>942</v>
      </c>
      <c r="C57" s="261" t="s">
        <v>1866</v>
      </c>
      <c r="D57" s="261" t="s">
        <v>1867</v>
      </c>
      <c r="E57" s="277" t="s">
        <v>5169</v>
      </c>
      <c r="F57" s="261" t="s">
        <v>5170</v>
      </c>
      <c r="G57" s="264" t="s">
        <v>5177</v>
      </c>
      <c r="H57" s="264" t="s">
        <v>5190</v>
      </c>
    </row>
    <row r="58" spans="1:8">
      <c r="A58" s="261" t="s">
        <v>941</v>
      </c>
      <c r="B58" s="261" t="s">
        <v>942</v>
      </c>
      <c r="C58" s="261" t="s">
        <v>1868</v>
      </c>
      <c r="D58" s="261" t="s">
        <v>1869</v>
      </c>
      <c r="E58" s="277" t="s">
        <v>5169</v>
      </c>
      <c r="F58" s="261" t="s">
        <v>5170</v>
      </c>
      <c r="G58" s="264" t="s">
        <v>5177</v>
      </c>
      <c r="H58" s="264" t="s">
        <v>5190</v>
      </c>
    </row>
    <row r="59" spans="1:8">
      <c r="A59" s="261" t="s">
        <v>941</v>
      </c>
      <c r="B59" s="261" t="s">
        <v>942</v>
      </c>
      <c r="C59" s="261" t="s">
        <v>1870</v>
      </c>
      <c r="D59" s="261" t="s">
        <v>1871</v>
      </c>
      <c r="E59" s="277" t="s">
        <v>5159</v>
      </c>
      <c r="F59" s="261" t="s">
        <v>5160</v>
      </c>
      <c r="G59" s="264" t="s">
        <v>5177</v>
      </c>
      <c r="H59" s="264" t="s">
        <v>5185</v>
      </c>
    </row>
    <row r="60" spans="1:8">
      <c r="A60" s="261" t="s">
        <v>941</v>
      </c>
      <c r="B60" s="261" t="s">
        <v>942</v>
      </c>
      <c r="C60" s="261" t="s">
        <v>1872</v>
      </c>
      <c r="D60" s="261" t="s">
        <v>1873</v>
      </c>
      <c r="E60" s="277" t="s">
        <v>5159</v>
      </c>
      <c r="F60" s="261" t="s">
        <v>5160</v>
      </c>
      <c r="G60" s="264" t="s">
        <v>5177</v>
      </c>
      <c r="H60" s="264" t="s">
        <v>5185</v>
      </c>
    </row>
    <row r="61" spans="1:8">
      <c r="A61" s="261" t="s">
        <v>941</v>
      </c>
      <c r="B61" s="261" t="s">
        <v>942</v>
      </c>
      <c r="C61" s="261" t="s">
        <v>1874</v>
      </c>
      <c r="D61" s="261" t="s">
        <v>1875</v>
      </c>
      <c r="E61" s="277" t="s">
        <v>5159</v>
      </c>
      <c r="F61" s="261" t="s">
        <v>5160</v>
      </c>
      <c r="G61" s="264" t="s">
        <v>5177</v>
      </c>
      <c r="H61" s="264" t="s">
        <v>5185</v>
      </c>
    </row>
    <row r="62" spans="1:8">
      <c r="A62" s="261" t="s">
        <v>941</v>
      </c>
      <c r="B62" s="261" t="s">
        <v>942</v>
      </c>
      <c r="C62" s="261" t="s">
        <v>1876</v>
      </c>
      <c r="D62" s="261" t="s">
        <v>1877</v>
      </c>
      <c r="E62" s="277" t="s">
        <v>5169</v>
      </c>
      <c r="F62" s="261" t="s">
        <v>5170</v>
      </c>
      <c r="G62" s="264" t="s">
        <v>5177</v>
      </c>
      <c r="H62" s="264" t="s">
        <v>5190</v>
      </c>
    </row>
    <row r="63" spans="1:8">
      <c r="A63" s="261" t="s">
        <v>941</v>
      </c>
      <c r="B63" s="261" t="s">
        <v>942</v>
      </c>
      <c r="C63" s="261" t="s">
        <v>1879</v>
      </c>
      <c r="D63" s="261" t="s">
        <v>1880</v>
      </c>
      <c r="E63" s="277" t="s">
        <v>5159</v>
      </c>
      <c r="F63" s="261" t="s">
        <v>5160</v>
      </c>
      <c r="G63" s="264" t="s">
        <v>5177</v>
      </c>
      <c r="H63" s="264" t="s">
        <v>5185</v>
      </c>
    </row>
    <row r="64" spans="1:8">
      <c r="A64" s="261" t="s">
        <v>941</v>
      </c>
      <c r="B64" s="261" t="s">
        <v>942</v>
      </c>
      <c r="C64" s="261" t="s">
        <v>1881</v>
      </c>
      <c r="D64" s="261" t="s">
        <v>1882</v>
      </c>
      <c r="E64" s="277" t="s">
        <v>5153</v>
      </c>
      <c r="F64" s="261" t="s">
        <v>5154</v>
      </c>
      <c r="G64" s="264" t="s">
        <v>5179</v>
      </c>
      <c r="H64" s="264" t="s">
        <v>5180</v>
      </c>
    </row>
    <row r="65" spans="1:8">
      <c r="A65" s="261" t="s">
        <v>941</v>
      </c>
      <c r="B65" s="261" t="s">
        <v>942</v>
      </c>
      <c r="C65" s="261" t="s">
        <v>1883</v>
      </c>
      <c r="D65" s="261" t="s">
        <v>1884</v>
      </c>
      <c r="E65" s="277" t="s">
        <v>5153</v>
      </c>
      <c r="F65" s="261" t="s">
        <v>5154</v>
      </c>
      <c r="G65" s="264" t="s">
        <v>5179</v>
      </c>
      <c r="H65" s="264" t="s">
        <v>5180</v>
      </c>
    </row>
    <row r="66" spans="1:8">
      <c r="A66" s="261" t="s">
        <v>941</v>
      </c>
      <c r="B66" s="261" t="s">
        <v>942</v>
      </c>
      <c r="C66" s="261" t="s">
        <v>1885</v>
      </c>
      <c r="D66" s="261" t="s">
        <v>1886</v>
      </c>
      <c r="E66" s="277" t="s">
        <v>5153</v>
      </c>
      <c r="F66" s="261" t="s">
        <v>5154</v>
      </c>
      <c r="G66" s="264" t="s">
        <v>5179</v>
      </c>
      <c r="H66" s="264" t="s">
        <v>5180</v>
      </c>
    </row>
    <row r="67" spans="1:8">
      <c r="A67" s="261" t="s">
        <v>941</v>
      </c>
      <c r="B67" s="261" t="s">
        <v>942</v>
      </c>
      <c r="C67" s="261" t="s">
        <v>1887</v>
      </c>
      <c r="D67" s="261" t="s">
        <v>1888</v>
      </c>
      <c r="E67" s="277" t="s">
        <v>5153</v>
      </c>
      <c r="F67" s="261" t="s">
        <v>5154</v>
      </c>
      <c r="G67" s="264" t="s">
        <v>5179</v>
      </c>
      <c r="H67" s="264" t="s">
        <v>5180</v>
      </c>
    </row>
    <row r="68" spans="1:8">
      <c r="A68" s="261" t="s">
        <v>941</v>
      </c>
      <c r="B68" s="261" t="s">
        <v>942</v>
      </c>
      <c r="C68" s="261" t="s">
        <v>1889</v>
      </c>
      <c r="D68" s="261" t="s">
        <v>1890</v>
      </c>
      <c r="E68" s="277" t="s">
        <v>5153</v>
      </c>
      <c r="F68" s="261" t="s">
        <v>5154</v>
      </c>
      <c r="G68" s="264" t="s">
        <v>5179</v>
      </c>
      <c r="H68" s="264" t="s">
        <v>5180</v>
      </c>
    </row>
    <row r="69" spans="1:8">
      <c r="A69" s="261" t="s">
        <v>941</v>
      </c>
      <c r="B69" s="261" t="s">
        <v>942</v>
      </c>
      <c r="C69" s="261" t="s">
        <v>1891</v>
      </c>
      <c r="D69" s="261" t="s">
        <v>1892</v>
      </c>
      <c r="E69" s="277" t="s">
        <v>5153</v>
      </c>
      <c r="F69" s="261" t="s">
        <v>5154</v>
      </c>
      <c r="G69" s="264" t="s">
        <v>5179</v>
      </c>
      <c r="H69" s="264" t="s">
        <v>5180</v>
      </c>
    </row>
    <row r="70" spans="1:8">
      <c r="A70" s="261" t="s">
        <v>941</v>
      </c>
      <c r="B70" s="261" t="s">
        <v>942</v>
      </c>
      <c r="C70" s="261" t="s">
        <v>958</v>
      </c>
      <c r="D70" s="261" t="s">
        <v>959</v>
      </c>
      <c r="E70" s="277" t="s">
        <v>5153</v>
      </c>
      <c r="F70" s="261" t="s">
        <v>5154</v>
      </c>
      <c r="G70" s="264" t="s">
        <v>5179</v>
      </c>
      <c r="H70" s="264" t="s">
        <v>5180</v>
      </c>
    </row>
    <row r="71" spans="1:8">
      <c r="A71" s="261" t="s">
        <v>941</v>
      </c>
      <c r="B71" s="261" t="s">
        <v>942</v>
      </c>
      <c r="C71" s="261" t="s">
        <v>1893</v>
      </c>
      <c r="D71" s="261" t="s">
        <v>1894</v>
      </c>
      <c r="E71" s="277" t="s">
        <v>5155</v>
      </c>
      <c r="F71" s="261" t="s">
        <v>5156</v>
      </c>
      <c r="G71" s="264" t="s">
        <v>5177</v>
      </c>
      <c r="H71" s="264" t="s">
        <v>5187</v>
      </c>
    </row>
    <row r="72" spans="1:8">
      <c r="A72" s="261" t="s">
        <v>941</v>
      </c>
      <c r="B72" s="261" t="s">
        <v>942</v>
      </c>
      <c r="C72" s="261" t="s">
        <v>3472</v>
      </c>
      <c r="D72" s="261" t="s">
        <v>3473</v>
      </c>
      <c r="E72" s="277" t="s">
        <v>5155</v>
      </c>
      <c r="F72" s="261" t="s">
        <v>5156</v>
      </c>
      <c r="G72" s="264" t="s">
        <v>5177</v>
      </c>
      <c r="H72" s="264" t="s">
        <v>5187</v>
      </c>
    </row>
    <row r="73" spans="1:8">
      <c r="A73" s="261" t="s">
        <v>941</v>
      </c>
      <c r="B73" s="261" t="s">
        <v>942</v>
      </c>
      <c r="C73" s="261" t="s">
        <v>1895</v>
      </c>
      <c r="D73" s="261" t="s">
        <v>1896</v>
      </c>
      <c r="E73" s="277" t="s">
        <v>5153</v>
      </c>
      <c r="F73" s="261" t="s">
        <v>5154</v>
      </c>
      <c r="G73" s="264" t="s">
        <v>5179</v>
      </c>
      <c r="H73" s="264" t="s">
        <v>5180</v>
      </c>
    </row>
    <row r="74" spans="1:8">
      <c r="A74" s="261" t="s">
        <v>941</v>
      </c>
      <c r="B74" s="261" t="s">
        <v>942</v>
      </c>
      <c r="C74" s="261" t="s">
        <v>1897</v>
      </c>
      <c r="D74" s="261" t="s">
        <v>1898</v>
      </c>
      <c r="E74" s="277" t="s">
        <v>5155</v>
      </c>
      <c r="F74" s="261" t="s">
        <v>5156</v>
      </c>
      <c r="G74" s="264" t="s">
        <v>5177</v>
      </c>
      <c r="H74" s="264" t="s">
        <v>5187</v>
      </c>
    </row>
    <row r="75" spans="1:8">
      <c r="A75" s="261" t="s">
        <v>941</v>
      </c>
      <c r="B75" s="261" t="s">
        <v>942</v>
      </c>
      <c r="C75" s="261" t="s">
        <v>1899</v>
      </c>
      <c r="D75" s="261" t="s">
        <v>1900</v>
      </c>
      <c r="E75" s="277" t="s">
        <v>5155</v>
      </c>
      <c r="F75" s="261" t="s">
        <v>5156</v>
      </c>
      <c r="G75" s="264" t="s">
        <v>5177</v>
      </c>
      <c r="H75" s="264" t="s">
        <v>5187</v>
      </c>
    </row>
    <row r="76" spans="1:8">
      <c r="A76" s="261" t="s">
        <v>941</v>
      </c>
      <c r="B76" s="261" t="s">
        <v>942</v>
      </c>
      <c r="C76" s="261" t="s">
        <v>1635</v>
      </c>
      <c r="D76" s="261" t="s">
        <v>1636</v>
      </c>
      <c r="E76" s="277" t="s">
        <v>5153</v>
      </c>
      <c r="F76" s="261" t="s">
        <v>5154</v>
      </c>
      <c r="G76" s="264" t="s">
        <v>5179</v>
      </c>
      <c r="H76" s="264" t="s">
        <v>5180</v>
      </c>
    </row>
    <row r="77" spans="1:8">
      <c r="A77" s="261" t="s">
        <v>941</v>
      </c>
      <c r="B77" s="261" t="s">
        <v>942</v>
      </c>
      <c r="C77" s="261" t="s">
        <v>1901</v>
      </c>
      <c r="D77" s="261" t="s">
        <v>1902</v>
      </c>
      <c r="E77" s="277" t="s">
        <v>5155</v>
      </c>
      <c r="F77" s="261" t="s">
        <v>5156</v>
      </c>
      <c r="G77" s="264" t="s">
        <v>5177</v>
      </c>
      <c r="H77" s="264" t="s">
        <v>5187</v>
      </c>
    </row>
    <row r="78" spans="1:8">
      <c r="A78" s="261" t="s">
        <v>941</v>
      </c>
      <c r="B78" s="261" t="s">
        <v>942</v>
      </c>
      <c r="C78" s="261" t="s">
        <v>1903</v>
      </c>
      <c r="D78" s="261" t="s">
        <v>1904</v>
      </c>
      <c r="E78" s="277" t="s">
        <v>5159</v>
      </c>
      <c r="F78" s="261" t="s">
        <v>5160</v>
      </c>
      <c r="G78" s="264" t="s">
        <v>5177</v>
      </c>
      <c r="H78" s="264" t="s">
        <v>5185</v>
      </c>
    </row>
    <row r="79" spans="1:8">
      <c r="A79" s="261" t="s">
        <v>941</v>
      </c>
      <c r="B79" s="261" t="s">
        <v>942</v>
      </c>
      <c r="C79" s="261" t="s">
        <v>1905</v>
      </c>
      <c r="D79" s="261" t="s">
        <v>1906</v>
      </c>
      <c r="E79" s="277" t="s">
        <v>5159</v>
      </c>
      <c r="F79" s="261" t="s">
        <v>5160</v>
      </c>
      <c r="G79" s="264" t="s">
        <v>5177</v>
      </c>
      <c r="H79" s="264" t="s">
        <v>5185</v>
      </c>
    </row>
    <row r="80" spans="1:8">
      <c r="A80" s="261" t="s">
        <v>941</v>
      </c>
      <c r="B80" s="261" t="s">
        <v>942</v>
      </c>
      <c r="C80" s="261" t="s">
        <v>1907</v>
      </c>
      <c r="D80" s="261" t="s">
        <v>1908</v>
      </c>
      <c r="E80" s="277" t="s">
        <v>5159</v>
      </c>
      <c r="F80" s="261" t="s">
        <v>5160</v>
      </c>
      <c r="G80" s="264" t="s">
        <v>5177</v>
      </c>
      <c r="H80" s="264" t="s">
        <v>5185</v>
      </c>
    </row>
    <row r="81" spans="1:8">
      <c r="A81" s="261" t="s">
        <v>941</v>
      </c>
      <c r="B81" s="261" t="s">
        <v>942</v>
      </c>
      <c r="C81" s="261" t="s">
        <v>1909</v>
      </c>
      <c r="D81" s="261" t="s">
        <v>1910</v>
      </c>
      <c r="E81" s="277" t="s">
        <v>5159</v>
      </c>
      <c r="F81" s="261" t="s">
        <v>5160</v>
      </c>
      <c r="G81" s="264" t="s">
        <v>5177</v>
      </c>
      <c r="H81" s="264" t="s">
        <v>5185</v>
      </c>
    </row>
    <row r="82" spans="1:8">
      <c r="A82" s="261" t="s">
        <v>941</v>
      </c>
      <c r="B82" s="261" t="s">
        <v>942</v>
      </c>
      <c r="C82" s="261" t="s">
        <v>1911</v>
      </c>
      <c r="D82" s="261" t="s">
        <v>1912</v>
      </c>
      <c r="E82" s="277" t="s">
        <v>5159</v>
      </c>
      <c r="F82" s="261" t="s">
        <v>5160</v>
      </c>
      <c r="G82" s="264" t="s">
        <v>5177</v>
      </c>
      <c r="H82" s="264" t="s">
        <v>5185</v>
      </c>
    </row>
    <row r="83" spans="1:8">
      <c r="A83" s="261" t="s">
        <v>941</v>
      </c>
      <c r="B83" s="261" t="s">
        <v>942</v>
      </c>
      <c r="C83" s="261" t="s">
        <v>1925</v>
      </c>
      <c r="D83" s="261" t="s">
        <v>1926</v>
      </c>
      <c r="E83" s="277" t="s">
        <v>5155</v>
      </c>
      <c r="F83" s="261" t="s">
        <v>5156</v>
      </c>
      <c r="G83" s="264" t="s">
        <v>5177</v>
      </c>
      <c r="H83" s="264" t="s">
        <v>5187</v>
      </c>
    </row>
    <row r="84" spans="1:8">
      <c r="A84" s="261" t="s">
        <v>941</v>
      </c>
      <c r="B84" s="261" t="s">
        <v>942</v>
      </c>
      <c r="C84" s="261" t="s">
        <v>1637</v>
      </c>
      <c r="D84" s="261" t="s">
        <v>1638</v>
      </c>
      <c r="E84" s="277" t="s">
        <v>5153</v>
      </c>
      <c r="F84" s="261" t="s">
        <v>5154</v>
      </c>
      <c r="G84" s="264" t="s">
        <v>5179</v>
      </c>
      <c r="H84" s="264" t="s">
        <v>5180</v>
      </c>
    </row>
    <row r="85" spans="1:8">
      <c r="A85" s="261" t="s">
        <v>941</v>
      </c>
      <c r="B85" s="261" t="s">
        <v>942</v>
      </c>
      <c r="C85" s="261" t="s">
        <v>1637</v>
      </c>
      <c r="D85" s="261" t="s">
        <v>1638</v>
      </c>
      <c r="E85" s="277" t="s">
        <v>5155</v>
      </c>
      <c r="F85" s="261" t="s">
        <v>5156</v>
      </c>
      <c r="G85" s="264" t="s">
        <v>5177</v>
      </c>
      <c r="H85" s="264" t="s">
        <v>5187</v>
      </c>
    </row>
    <row r="86" spans="1:8">
      <c r="A86" s="261" t="s">
        <v>941</v>
      </c>
      <c r="B86" s="261" t="s">
        <v>942</v>
      </c>
      <c r="C86" s="261" t="s">
        <v>951</v>
      </c>
      <c r="D86" s="261" t="s">
        <v>952</v>
      </c>
      <c r="E86" s="277" t="s">
        <v>5155</v>
      </c>
      <c r="F86" s="261" t="s">
        <v>5156</v>
      </c>
      <c r="G86" s="264" t="s">
        <v>5177</v>
      </c>
      <c r="H86" s="264" t="s">
        <v>5187</v>
      </c>
    </row>
    <row r="87" spans="1:8">
      <c r="A87" s="261" t="s">
        <v>941</v>
      </c>
      <c r="B87" s="261" t="s">
        <v>942</v>
      </c>
      <c r="C87" s="261" t="s">
        <v>953</v>
      </c>
      <c r="D87" s="261" t="s">
        <v>954</v>
      </c>
      <c r="E87" s="277" t="s">
        <v>5155</v>
      </c>
      <c r="F87" s="261" t="s">
        <v>5156</v>
      </c>
      <c r="G87" s="264" t="s">
        <v>5177</v>
      </c>
      <c r="H87" s="264" t="s">
        <v>5187</v>
      </c>
    </row>
    <row r="88" spans="1:8">
      <c r="A88" s="261" t="s">
        <v>941</v>
      </c>
      <c r="B88" s="261" t="s">
        <v>942</v>
      </c>
      <c r="C88" s="261" t="s">
        <v>960</v>
      </c>
      <c r="D88" s="261" t="s">
        <v>961</v>
      </c>
      <c r="E88" s="277" t="s">
        <v>5153</v>
      </c>
      <c r="F88" s="261" t="s">
        <v>5154</v>
      </c>
      <c r="G88" s="264" t="s">
        <v>5179</v>
      </c>
      <c r="H88" s="264" t="s">
        <v>5180</v>
      </c>
    </row>
    <row r="89" spans="1:8">
      <c r="A89" s="261" t="s">
        <v>941</v>
      </c>
      <c r="B89" s="261" t="s">
        <v>942</v>
      </c>
      <c r="C89" s="261" t="s">
        <v>1639</v>
      </c>
      <c r="D89" s="261" t="s">
        <v>1640</v>
      </c>
      <c r="E89" s="277" t="s">
        <v>5153</v>
      </c>
      <c r="F89" s="261" t="s">
        <v>5154</v>
      </c>
      <c r="G89" s="264" t="s">
        <v>5179</v>
      </c>
      <c r="H89" s="264" t="s">
        <v>5180</v>
      </c>
    </row>
    <row r="90" spans="1:8">
      <c r="A90" s="261" t="s">
        <v>941</v>
      </c>
      <c r="B90" s="261" t="s">
        <v>942</v>
      </c>
      <c r="C90" s="261" t="s">
        <v>1927</v>
      </c>
      <c r="D90" s="261" t="s">
        <v>1928</v>
      </c>
      <c r="E90" s="277" t="s">
        <v>5153</v>
      </c>
      <c r="F90" s="261" t="s">
        <v>5154</v>
      </c>
      <c r="G90" s="264" t="s">
        <v>5179</v>
      </c>
      <c r="H90" s="264" t="s">
        <v>5180</v>
      </c>
    </row>
    <row r="91" spans="1:8">
      <c r="A91" s="261" t="s">
        <v>941</v>
      </c>
      <c r="B91" s="261" t="s">
        <v>942</v>
      </c>
      <c r="C91" s="261" t="s">
        <v>1641</v>
      </c>
      <c r="D91" s="261" t="s">
        <v>1642</v>
      </c>
      <c r="E91" s="277" t="s">
        <v>5155</v>
      </c>
      <c r="F91" s="261" t="s">
        <v>5156</v>
      </c>
      <c r="G91" s="264" t="s">
        <v>5177</v>
      </c>
      <c r="H91" s="264" t="s">
        <v>5187</v>
      </c>
    </row>
    <row r="92" spans="1:8">
      <c r="A92" s="261" t="s">
        <v>941</v>
      </c>
      <c r="B92" s="261" t="s">
        <v>942</v>
      </c>
      <c r="C92" s="261" t="s">
        <v>1929</v>
      </c>
      <c r="D92" s="261" t="s">
        <v>1930</v>
      </c>
      <c r="E92" s="277" t="s">
        <v>5155</v>
      </c>
      <c r="F92" s="261" t="s">
        <v>5156</v>
      </c>
      <c r="G92" s="264" t="s">
        <v>5177</v>
      </c>
      <c r="H92" s="264" t="s">
        <v>5187</v>
      </c>
    </row>
    <row r="93" spans="1:8">
      <c r="A93" s="261" t="s">
        <v>941</v>
      </c>
      <c r="B93" s="261" t="s">
        <v>942</v>
      </c>
      <c r="C93" s="261" t="s">
        <v>1931</v>
      </c>
      <c r="D93" s="261" t="s">
        <v>1932</v>
      </c>
      <c r="E93" s="277" t="s">
        <v>5155</v>
      </c>
      <c r="F93" s="261" t="s">
        <v>5156</v>
      </c>
      <c r="G93" s="264" t="s">
        <v>5177</v>
      </c>
      <c r="H93" s="264" t="s">
        <v>5187</v>
      </c>
    </row>
    <row r="94" spans="1:8">
      <c r="A94" s="261" t="s">
        <v>941</v>
      </c>
      <c r="B94" s="261" t="s">
        <v>942</v>
      </c>
      <c r="C94" s="261" t="s">
        <v>1933</v>
      </c>
      <c r="D94" s="261" t="s">
        <v>1934</v>
      </c>
      <c r="E94" s="277" t="s">
        <v>5155</v>
      </c>
      <c r="F94" s="261" t="s">
        <v>5156</v>
      </c>
      <c r="G94" s="264" t="s">
        <v>5177</v>
      </c>
      <c r="H94" s="264" t="s">
        <v>5187</v>
      </c>
    </row>
    <row r="95" spans="1:8">
      <c r="A95" s="261" t="s">
        <v>941</v>
      </c>
      <c r="B95" s="261" t="s">
        <v>942</v>
      </c>
      <c r="C95" s="261" t="s">
        <v>1935</v>
      </c>
      <c r="D95" s="261" t="s">
        <v>1936</v>
      </c>
      <c r="E95" s="277" t="s">
        <v>5155</v>
      </c>
      <c r="F95" s="261" t="s">
        <v>5156</v>
      </c>
      <c r="G95" s="264" t="s">
        <v>5177</v>
      </c>
      <c r="H95" s="264" t="s">
        <v>5187</v>
      </c>
    </row>
    <row r="96" spans="1:8">
      <c r="A96" s="261" t="s">
        <v>941</v>
      </c>
      <c r="B96" s="261" t="s">
        <v>942</v>
      </c>
      <c r="C96" s="261" t="s">
        <v>1937</v>
      </c>
      <c r="D96" s="261" t="s">
        <v>1938</v>
      </c>
      <c r="E96" s="277" t="s">
        <v>5155</v>
      </c>
      <c r="F96" s="261" t="s">
        <v>5156</v>
      </c>
      <c r="G96" s="264" t="s">
        <v>5177</v>
      </c>
      <c r="H96" s="264" t="s">
        <v>5187</v>
      </c>
    </row>
    <row r="97" spans="1:8">
      <c r="A97" s="261" t="s">
        <v>941</v>
      </c>
      <c r="B97" s="261" t="s">
        <v>942</v>
      </c>
      <c r="C97" s="261" t="s">
        <v>1939</v>
      </c>
      <c r="D97" s="261" t="s">
        <v>1940</v>
      </c>
      <c r="E97" s="277" t="s">
        <v>5155</v>
      </c>
      <c r="F97" s="261" t="s">
        <v>5156</v>
      </c>
      <c r="G97" s="264" t="s">
        <v>5177</v>
      </c>
      <c r="H97" s="264" t="s">
        <v>5187</v>
      </c>
    </row>
    <row r="98" spans="1:8">
      <c r="A98" s="261" t="s">
        <v>941</v>
      </c>
      <c r="B98" s="261" t="s">
        <v>942</v>
      </c>
      <c r="C98" s="261" t="s">
        <v>1941</v>
      </c>
      <c r="D98" s="261" t="s">
        <v>1942</v>
      </c>
      <c r="E98" s="277" t="s">
        <v>5155</v>
      </c>
      <c r="F98" s="261" t="s">
        <v>5156</v>
      </c>
      <c r="G98" s="264" t="s">
        <v>5177</v>
      </c>
      <c r="H98" s="264" t="s">
        <v>5187</v>
      </c>
    </row>
    <row r="99" spans="1:8">
      <c r="A99" s="261" t="s">
        <v>941</v>
      </c>
      <c r="B99" s="261" t="s">
        <v>942</v>
      </c>
      <c r="C99" s="261" t="s">
        <v>1943</v>
      </c>
      <c r="D99" s="261" t="s">
        <v>1944</v>
      </c>
      <c r="E99" s="277" t="s">
        <v>5153</v>
      </c>
      <c r="F99" s="261" t="s">
        <v>5154</v>
      </c>
      <c r="G99" s="264" t="s">
        <v>5179</v>
      </c>
      <c r="H99" s="264" t="s">
        <v>5180</v>
      </c>
    </row>
    <row r="100" spans="1:8">
      <c r="A100" s="261" t="s">
        <v>941</v>
      </c>
      <c r="B100" s="261" t="s">
        <v>942</v>
      </c>
      <c r="C100" s="261" t="s">
        <v>1643</v>
      </c>
      <c r="D100" s="261" t="s">
        <v>1644</v>
      </c>
      <c r="E100" s="277" t="s">
        <v>5167</v>
      </c>
      <c r="F100" s="261" t="s">
        <v>5168</v>
      </c>
      <c r="G100" s="264" t="s">
        <v>5177</v>
      </c>
      <c r="H100" s="264" t="s">
        <v>5188</v>
      </c>
    </row>
    <row r="101" spans="1:8">
      <c r="A101" s="261" t="s">
        <v>941</v>
      </c>
      <c r="B101" s="261" t="s">
        <v>942</v>
      </c>
      <c r="C101" s="261" t="s">
        <v>1945</v>
      </c>
      <c r="D101" s="261" t="s">
        <v>1946</v>
      </c>
      <c r="E101" s="277" t="s">
        <v>5155</v>
      </c>
      <c r="F101" s="261" t="s">
        <v>5156</v>
      </c>
      <c r="G101" s="264" t="s">
        <v>5177</v>
      </c>
      <c r="H101" s="264" t="s">
        <v>5187</v>
      </c>
    </row>
    <row r="102" spans="1:8">
      <c r="A102" s="261" t="s">
        <v>941</v>
      </c>
      <c r="B102" s="261" t="s">
        <v>942</v>
      </c>
      <c r="C102" s="261" t="s">
        <v>1645</v>
      </c>
      <c r="D102" s="261" t="s">
        <v>1646</v>
      </c>
      <c r="E102" s="277" t="s">
        <v>5153</v>
      </c>
      <c r="F102" s="261" t="s">
        <v>5154</v>
      </c>
      <c r="G102" s="264" t="s">
        <v>5179</v>
      </c>
      <c r="H102" s="264" t="s">
        <v>5180</v>
      </c>
    </row>
    <row r="103" spans="1:8">
      <c r="A103" s="261" t="s">
        <v>941</v>
      </c>
      <c r="B103" s="261" t="s">
        <v>942</v>
      </c>
      <c r="C103" s="261" t="s">
        <v>962</v>
      </c>
      <c r="D103" s="261" t="s">
        <v>963</v>
      </c>
      <c r="E103" s="277" t="s">
        <v>5153</v>
      </c>
      <c r="F103" s="261" t="s">
        <v>5154</v>
      </c>
      <c r="G103" s="264" t="s">
        <v>5179</v>
      </c>
      <c r="H103" s="264" t="s">
        <v>5180</v>
      </c>
    </row>
    <row r="104" spans="1:8">
      <c r="A104" s="261" t="s">
        <v>941</v>
      </c>
      <c r="B104" s="261" t="s">
        <v>942</v>
      </c>
      <c r="C104" s="261" t="s">
        <v>955</v>
      </c>
      <c r="D104" s="261" t="s">
        <v>956</v>
      </c>
      <c r="E104" s="277" t="s">
        <v>5155</v>
      </c>
      <c r="F104" s="261" t="s">
        <v>5156</v>
      </c>
      <c r="G104" s="264" t="s">
        <v>5177</v>
      </c>
      <c r="H104" s="264" t="s">
        <v>5187</v>
      </c>
    </row>
    <row r="105" spans="1:8">
      <c r="A105" s="261" t="s">
        <v>941</v>
      </c>
      <c r="B105" s="261" t="s">
        <v>942</v>
      </c>
      <c r="C105" s="261" t="s">
        <v>1647</v>
      </c>
      <c r="D105" s="261" t="s">
        <v>1648</v>
      </c>
      <c r="E105" s="277" t="s">
        <v>5159</v>
      </c>
      <c r="F105" s="261" t="s">
        <v>5160</v>
      </c>
      <c r="G105" s="264" t="s">
        <v>5177</v>
      </c>
      <c r="H105" s="264" t="s">
        <v>5185</v>
      </c>
    </row>
    <row r="106" spans="1:8">
      <c r="A106" s="261" t="s">
        <v>941</v>
      </c>
      <c r="B106" s="261" t="s">
        <v>942</v>
      </c>
      <c r="C106" s="261" t="s">
        <v>1701</v>
      </c>
      <c r="D106" s="261" t="s">
        <v>1702</v>
      </c>
      <c r="E106" s="277" t="s">
        <v>5153</v>
      </c>
      <c r="F106" s="261" t="s">
        <v>5154</v>
      </c>
      <c r="G106" s="264" t="s">
        <v>5179</v>
      </c>
      <c r="H106" s="264" t="s">
        <v>5180</v>
      </c>
    </row>
    <row r="107" spans="1:8">
      <c r="A107" s="261" t="s">
        <v>941</v>
      </c>
      <c r="B107" s="261" t="s">
        <v>942</v>
      </c>
      <c r="C107" s="261" t="s">
        <v>1947</v>
      </c>
      <c r="D107" s="261" t="s">
        <v>1948</v>
      </c>
      <c r="E107" s="277" t="s">
        <v>5155</v>
      </c>
      <c r="F107" s="261" t="s">
        <v>5156</v>
      </c>
      <c r="G107" s="264" t="s">
        <v>5177</v>
      </c>
      <c r="H107" s="264" t="s">
        <v>5187</v>
      </c>
    </row>
    <row r="108" spans="1:8">
      <c r="A108" s="261" t="s">
        <v>941</v>
      </c>
      <c r="B108" s="261" t="s">
        <v>942</v>
      </c>
      <c r="C108" s="261" t="s">
        <v>1949</v>
      </c>
      <c r="D108" s="261" t="s">
        <v>1950</v>
      </c>
      <c r="E108" s="277" t="s">
        <v>5155</v>
      </c>
      <c r="F108" s="261" t="s">
        <v>5156</v>
      </c>
      <c r="G108" s="264" t="s">
        <v>5177</v>
      </c>
      <c r="H108" s="264" t="s">
        <v>5187</v>
      </c>
    </row>
    <row r="109" spans="1:8">
      <c r="A109" s="261" t="s">
        <v>941</v>
      </c>
      <c r="B109" s="261" t="s">
        <v>942</v>
      </c>
      <c r="C109" s="261" t="s">
        <v>1951</v>
      </c>
      <c r="D109" s="261" t="s">
        <v>1952</v>
      </c>
      <c r="E109" s="277" t="s">
        <v>5155</v>
      </c>
      <c r="F109" s="261" t="s">
        <v>5156</v>
      </c>
      <c r="G109" s="264" t="s">
        <v>5177</v>
      </c>
      <c r="H109" s="264" t="s">
        <v>5187</v>
      </c>
    </row>
    <row r="110" spans="1:8">
      <c r="A110" s="261" t="s">
        <v>941</v>
      </c>
      <c r="B110" s="261" t="s">
        <v>942</v>
      </c>
      <c r="C110" s="261" t="s">
        <v>1649</v>
      </c>
      <c r="D110" s="261" t="s">
        <v>1650</v>
      </c>
      <c r="E110" s="277" t="s">
        <v>5155</v>
      </c>
      <c r="F110" s="261" t="s">
        <v>5156</v>
      </c>
      <c r="G110" s="264" t="s">
        <v>5177</v>
      </c>
      <c r="H110" s="264" t="s">
        <v>5187</v>
      </c>
    </row>
    <row r="111" spans="1:8">
      <c r="A111" s="261" t="s">
        <v>941</v>
      </c>
      <c r="B111" s="261" t="s">
        <v>942</v>
      </c>
      <c r="C111" s="261" t="s">
        <v>1709</v>
      </c>
      <c r="D111" s="261" t="s">
        <v>1953</v>
      </c>
      <c r="E111" s="277" t="s">
        <v>5155</v>
      </c>
      <c r="F111" s="261" t="s">
        <v>5156</v>
      </c>
      <c r="G111" s="264" t="s">
        <v>5177</v>
      </c>
      <c r="H111" s="264" t="s">
        <v>5187</v>
      </c>
    </row>
    <row r="112" spans="1:8">
      <c r="A112" s="261" t="s">
        <v>941</v>
      </c>
      <c r="B112" s="261" t="s">
        <v>942</v>
      </c>
      <c r="C112" s="261" t="s">
        <v>1954</v>
      </c>
      <c r="D112" s="261" t="s">
        <v>1955</v>
      </c>
      <c r="E112" s="277" t="s">
        <v>5155</v>
      </c>
      <c r="F112" s="261" t="s">
        <v>5156</v>
      </c>
      <c r="G112" s="264" t="s">
        <v>5177</v>
      </c>
      <c r="H112" s="264" t="s">
        <v>5187</v>
      </c>
    </row>
    <row r="113" spans="1:8">
      <c r="A113" s="261" t="s">
        <v>941</v>
      </c>
      <c r="B113" s="261" t="s">
        <v>942</v>
      </c>
      <c r="C113" s="261" t="s">
        <v>3474</v>
      </c>
      <c r="D113" s="261" t="s">
        <v>3475</v>
      </c>
      <c r="E113" s="277" t="s">
        <v>5153</v>
      </c>
      <c r="F113" s="261" t="s">
        <v>5154</v>
      </c>
      <c r="G113" s="264" t="s">
        <v>5179</v>
      </c>
      <c r="H113" s="264" t="s">
        <v>5180</v>
      </c>
    </row>
    <row r="114" spans="1:8">
      <c r="A114" s="261" t="s">
        <v>941</v>
      </c>
      <c r="B114" s="261" t="s">
        <v>942</v>
      </c>
      <c r="C114" s="261" t="s">
        <v>1956</v>
      </c>
      <c r="D114" s="261" t="s">
        <v>1957</v>
      </c>
      <c r="E114" s="277" t="s">
        <v>5151</v>
      </c>
      <c r="F114" s="261" t="s">
        <v>5152</v>
      </c>
      <c r="G114" s="264" t="s">
        <v>5177</v>
      </c>
      <c r="H114" s="264" t="s">
        <v>5184</v>
      </c>
    </row>
    <row r="115" spans="1:8">
      <c r="A115" s="261" t="s">
        <v>941</v>
      </c>
      <c r="B115" s="261" t="s">
        <v>942</v>
      </c>
      <c r="C115" s="261" t="s">
        <v>1651</v>
      </c>
      <c r="D115" s="261" t="s">
        <v>1652</v>
      </c>
      <c r="E115" s="277" t="s">
        <v>5155</v>
      </c>
      <c r="F115" s="261" t="s">
        <v>5156</v>
      </c>
      <c r="G115" s="264" t="s">
        <v>5177</v>
      </c>
      <c r="H115" s="264" t="s">
        <v>5187</v>
      </c>
    </row>
    <row r="116" spans="1:8">
      <c r="A116" s="261" t="s">
        <v>941</v>
      </c>
      <c r="B116" s="261" t="s">
        <v>942</v>
      </c>
      <c r="C116" s="261" t="s">
        <v>1958</v>
      </c>
      <c r="D116" s="261" t="s">
        <v>1959</v>
      </c>
      <c r="E116" s="277" t="s">
        <v>5155</v>
      </c>
      <c r="F116" s="261" t="s">
        <v>5156</v>
      </c>
      <c r="G116" s="264" t="s">
        <v>5177</v>
      </c>
      <c r="H116" s="264" t="s">
        <v>5187</v>
      </c>
    </row>
    <row r="117" spans="1:8">
      <c r="A117" s="261" t="s">
        <v>941</v>
      </c>
      <c r="B117" s="261" t="s">
        <v>942</v>
      </c>
      <c r="C117" s="261" t="s">
        <v>1960</v>
      </c>
      <c r="D117" s="261" t="s">
        <v>1961</v>
      </c>
      <c r="E117" s="277" t="s">
        <v>5153</v>
      </c>
      <c r="F117" s="261" t="s">
        <v>5154</v>
      </c>
      <c r="G117" s="264" t="s">
        <v>5179</v>
      </c>
      <c r="H117" s="264" t="s">
        <v>5180</v>
      </c>
    </row>
    <row r="118" spans="1:8">
      <c r="A118" s="261" t="s">
        <v>941</v>
      </c>
      <c r="B118" s="261" t="s">
        <v>942</v>
      </c>
      <c r="C118" s="261" t="s">
        <v>1978</v>
      </c>
      <c r="D118" s="261" t="s">
        <v>1979</v>
      </c>
      <c r="E118" s="277" t="s">
        <v>5151</v>
      </c>
      <c r="F118" s="261" t="s">
        <v>5152</v>
      </c>
      <c r="G118" s="264" t="s">
        <v>5177</v>
      </c>
      <c r="H118" s="264" t="s">
        <v>5184</v>
      </c>
    </row>
    <row r="119" spans="1:8">
      <c r="A119" s="261" t="s">
        <v>941</v>
      </c>
      <c r="B119" s="261" t="s">
        <v>942</v>
      </c>
      <c r="C119" s="261" t="s">
        <v>1980</v>
      </c>
      <c r="D119" s="261" t="s">
        <v>1981</v>
      </c>
      <c r="E119" s="277" t="s">
        <v>5167</v>
      </c>
      <c r="F119" s="261" t="s">
        <v>5168</v>
      </c>
      <c r="G119" s="264" t="s">
        <v>5177</v>
      </c>
      <c r="H119" s="264" t="s">
        <v>5188</v>
      </c>
    </row>
    <row r="120" spans="1:8">
      <c r="A120" s="261" t="s">
        <v>941</v>
      </c>
      <c r="B120" s="261" t="s">
        <v>942</v>
      </c>
      <c r="C120" s="261" t="s">
        <v>1982</v>
      </c>
      <c r="D120" s="261" t="s">
        <v>1983</v>
      </c>
      <c r="E120" s="277" t="s">
        <v>5157</v>
      </c>
      <c r="F120" s="261" t="s">
        <v>5158</v>
      </c>
      <c r="G120" s="264" t="s">
        <v>5177</v>
      </c>
      <c r="H120" s="264" t="s">
        <v>5186</v>
      </c>
    </row>
    <row r="121" spans="1:8">
      <c r="A121" s="261" t="s">
        <v>941</v>
      </c>
      <c r="B121" s="261" t="s">
        <v>942</v>
      </c>
      <c r="C121" s="261" t="s">
        <v>1984</v>
      </c>
      <c r="D121" s="261" t="s">
        <v>1985</v>
      </c>
      <c r="E121" s="277" t="s">
        <v>5163</v>
      </c>
      <c r="F121" s="261" t="s">
        <v>5164</v>
      </c>
      <c r="G121" s="264" t="s">
        <v>5177</v>
      </c>
      <c r="H121" s="264" t="s">
        <v>5184</v>
      </c>
    </row>
    <row r="122" spans="1:8">
      <c r="A122" s="261" t="s">
        <v>941</v>
      </c>
      <c r="B122" s="261" t="s">
        <v>942</v>
      </c>
      <c r="C122" s="261" t="s">
        <v>964</v>
      </c>
      <c r="D122" s="261" t="s">
        <v>1653</v>
      </c>
      <c r="E122" s="277" t="s">
        <v>5153</v>
      </c>
      <c r="F122" s="261" t="s">
        <v>5154</v>
      </c>
      <c r="G122" s="264" t="s">
        <v>5179</v>
      </c>
      <c r="H122" s="264" t="s">
        <v>5180</v>
      </c>
    </row>
    <row r="123" spans="1:8">
      <c r="A123" s="261" t="s">
        <v>941</v>
      </c>
      <c r="B123" s="261" t="s">
        <v>942</v>
      </c>
      <c r="C123" s="261" t="s">
        <v>1986</v>
      </c>
      <c r="D123" s="261" t="s">
        <v>3476</v>
      </c>
      <c r="E123" s="277" t="s">
        <v>5155</v>
      </c>
      <c r="F123" s="261" t="s">
        <v>5156</v>
      </c>
      <c r="G123" s="264" t="s">
        <v>5177</v>
      </c>
      <c r="H123" s="264" t="s">
        <v>5187</v>
      </c>
    </row>
    <row r="124" spans="1:8">
      <c r="A124" s="261" t="s">
        <v>941</v>
      </c>
      <c r="B124" s="261" t="s">
        <v>942</v>
      </c>
      <c r="C124" s="261" t="s">
        <v>1987</v>
      </c>
      <c r="D124" s="261" t="s">
        <v>1988</v>
      </c>
      <c r="E124" s="277" t="s">
        <v>5151</v>
      </c>
      <c r="F124" s="261" t="s">
        <v>5152</v>
      </c>
      <c r="G124" s="264" t="s">
        <v>5177</v>
      </c>
      <c r="H124" s="264" t="s">
        <v>5184</v>
      </c>
    </row>
    <row r="125" spans="1:8">
      <c r="A125" s="261" t="s">
        <v>941</v>
      </c>
      <c r="B125" s="261" t="s">
        <v>942</v>
      </c>
      <c r="C125" s="261" t="s">
        <v>1989</v>
      </c>
      <c r="D125" s="261" t="s">
        <v>3477</v>
      </c>
      <c r="E125" s="277" t="s">
        <v>5167</v>
      </c>
      <c r="F125" s="261" t="s">
        <v>5168</v>
      </c>
      <c r="G125" s="264" t="s">
        <v>5177</v>
      </c>
      <c r="H125" s="264" t="s">
        <v>5188</v>
      </c>
    </row>
    <row r="126" spans="1:8">
      <c r="A126" s="261" t="s">
        <v>941</v>
      </c>
      <c r="B126" s="261" t="s">
        <v>942</v>
      </c>
      <c r="C126" s="261" t="s">
        <v>3478</v>
      </c>
      <c r="D126" s="261" t="s">
        <v>3479</v>
      </c>
      <c r="E126" s="277" t="s">
        <v>5153</v>
      </c>
      <c r="F126" s="261" t="s">
        <v>5154</v>
      </c>
      <c r="G126" s="264" t="s">
        <v>5179</v>
      </c>
      <c r="H126" s="264" t="s">
        <v>5180</v>
      </c>
    </row>
    <row r="127" spans="1:8">
      <c r="A127" s="261" t="s">
        <v>941</v>
      </c>
      <c r="B127" s="261" t="s">
        <v>942</v>
      </c>
      <c r="C127" s="261" t="s">
        <v>1990</v>
      </c>
      <c r="D127" s="261" t="s">
        <v>1991</v>
      </c>
      <c r="E127" s="277" t="s">
        <v>5155</v>
      </c>
      <c r="F127" s="261" t="s">
        <v>5156</v>
      </c>
      <c r="G127" s="264" t="s">
        <v>5177</v>
      </c>
      <c r="H127" s="264" t="s">
        <v>5187</v>
      </c>
    </row>
    <row r="128" spans="1:8">
      <c r="A128" s="261" t="s">
        <v>941</v>
      </c>
      <c r="B128" s="261" t="s">
        <v>942</v>
      </c>
      <c r="C128" s="261" t="s">
        <v>1992</v>
      </c>
      <c r="D128" s="261" t="s">
        <v>1993</v>
      </c>
      <c r="E128" s="277" t="s">
        <v>5159</v>
      </c>
      <c r="F128" s="261" t="s">
        <v>5160</v>
      </c>
      <c r="G128" s="264" t="s">
        <v>5177</v>
      </c>
      <c r="H128" s="264" t="s">
        <v>5185</v>
      </c>
    </row>
    <row r="129" spans="1:8">
      <c r="A129" s="261" t="s">
        <v>941</v>
      </c>
      <c r="B129" s="261" t="s">
        <v>942</v>
      </c>
      <c r="C129" s="261" t="s">
        <v>1994</v>
      </c>
      <c r="D129" s="261" t="s">
        <v>1995</v>
      </c>
      <c r="E129" s="277" t="s">
        <v>5153</v>
      </c>
      <c r="F129" s="261" t="s">
        <v>5154</v>
      </c>
      <c r="G129" s="264" t="s">
        <v>5179</v>
      </c>
      <c r="H129" s="264" t="s">
        <v>5180</v>
      </c>
    </row>
    <row r="130" spans="1:8">
      <c r="A130" s="261" t="s">
        <v>941</v>
      </c>
      <c r="B130" s="261" t="s">
        <v>942</v>
      </c>
      <c r="C130" s="261" t="s">
        <v>3480</v>
      </c>
      <c r="D130" s="261" t="s">
        <v>3481</v>
      </c>
      <c r="E130" s="277" t="s">
        <v>5167</v>
      </c>
      <c r="F130" s="261" t="s">
        <v>5168</v>
      </c>
      <c r="G130" s="264" t="s">
        <v>5177</v>
      </c>
      <c r="H130" s="264" t="s">
        <v>5188</v>
      </c>
    </row>
    <row r="131" spans="1:8">
      <c r="A131" s="261" t="s">
        <v>941</v>
      </c>
      <c r="B131" s="261" t="s">
        <v>942</v>
      </c>
      <c r="C131" s="261" t="s">
        <v>1999</v>
      </c>
      <c r="D131" s="261" t="s">
        <v>2000</v>
      </c>
      <c r="E131" s="277" t="s">
        <v>5167</v>
      </c>
      <c r="F131" s="261" t="s">
        <v>5168</v>
      </c>
      <c r="G131" s="264" t="s">
        <v>5177</v>
      </c>
      <c r="H131" s="264" t="s">
        <v>5188</v>
      </c>
    </row>
    <row r="132" spans="1:8">
      <c r="A132" s="261" t="s">
        <v>941</v>
      </c>
      <c r="B132" s="261" t="s">
        <v>942</v>
      </c>
      <c r="C132" s="261" t="s">
        <v>1999</v>
      </c>
      <c r="D132" s="261" t="s">
        <v>2000</v>
      </c>
      <c r="E132" s="277" t="s">
        <v>5155</v>
      </c>
      <c r="F132" s="261" t="s">
        <v>5156</v>
      </c>
      <c r="G132" s="264" t="s">
        <v>5177</v>
      </c>
      <c r="H132" s="264" t="s">
        <v>5187</v>
      </c>
    </row>
    <row r="133" spans="1:8">
      <c r="A133" s="261" t="s">
        <v>941</v>
      </c>
      <c r="B133" s="261" t="s">
        <v>942</v>
      </c>
      <c r="C133" s="261" t="s">
        <v>2001</v>
      </c>
      <c r="D133" s="261" t="s">
        <v>3482</v>
      </c>
      <c r="E133" s="277" t="s">
        <v>5155</v>
      </c>
      <c r="F133" s="261" t="s">
        <v>5156</v>
      </c>
      <c r="G133" s="264" t="s">
        <v>5177</v>
      </c>
      <c r="H133" s="264" t="s">
        <v>5187</v>
      </c>
    </row>
    <row r="134" spans="1:8">
      <c r="A134" s="261" t="s">
        <v>941</v>
      </c>
      <c r="B134" s="261" t="s">
        <v>942</v>
      </c>
      <c r="C134" s="261" t="s">
        <v>2002</v>
      </c>
      <c r="D134" s="261" t="s">
        <v>3483</v>
      </c>
      <c r="E134" s="277" t="s">
        <v>5163</v>
      </c>
      <c r="F134" s="261" t="s">
        <v>5164</v>
      </c>
      <c r="G134" s="264" t="s">
        <v>5177</v>
      </c>
      <c r="H134" s="264" t="s">
        <v>5184</v>
      </c>
    </row>
    <row r="135" spans="1:8">
      <c r="A135" s="261" t="s">
        <v>941</v>
      </c>
      <c r="B135" s="261" t="s">
        <v>942</v>
      </c>
      <c r="C135" s="261" t="s">
        <v>3484</v>
      </c>
      <c r="D135" s="261" t="s">
        <v>3485</v>
      </c>
      <c r="E135" s="277" t="s">
        <v>5153</v>
      </c>
      <c r="F135" s="261" t="s">
        <v>5154</v>
      </c>
      <c r="G135" s="264" t="s">
        <v>5179</v>
      </c>
      <c r="H135" s="264" t="s">
        <v>5180</v>
      </c>
    </row>
    <row r="136" spans="1:8">
      <c r="A136" s="261" t="s">
        <v>941</v>
      </c>
      <c r="B136" s="261" t="s">
        <v>942</v>
      </c>
      <c r="C136" s="261" t="s">
        <v>2005</v>
      </c>
      <c r="D136" s="261" t="s">
        <v>2006</v>
      </c>
      <c r="E136" s="277" t="s">
        <v>5151</v>
      </c>
      <c r="F136" s="261" t="s">
        <v>5152</v>
      </c>
      <c r="G136" s="264" t="s">
        <v>5177</v>
      </c>
      <c r="H136" s="264" t="s">
        <v>5184</v>
      </c>
    </row>
    <row r="137" spans="1:8">
      <c r="A137" s="261" t="s">
        <v>941</v>
      </c>
      <c r="B137" s="261" t="s">
        <v>942</v>
      </c>
      <c r="C137" s="261" t="s">
        <v>2007</v>
      </c>
      <c r="D137" s="261" t="s">
        <v>2008</v>
      </c>
      <c r="E137" s="277" t="s">
        <v>5171</v>
      </c>
      <c r="F137" s="261" t="s">
        <v>5172</v>
      </c>
      <c r="G137" s="264" t="s">
        <v>5177</v>
      </c>
      <c r="H137" s="264" t="s">
        <v>5189</v>
      </c>
    </row>
    <row r="138" spans="1:8">
      <c r="A138" s="261" t="s">
        <v>941</v>
      </c>
      <c r="B138" s="261" t="s">
        <v>942</v>
      </c>
      <c r="C138" s="261" t="s">
        <v>2010</v>
      </c>
      <c r="D138" s="261" t="s">
        <v>2011</v>
      </c>
      <c r="E138" s="277" t="s">
        <v>5151</v>
      </c>
      <c r="F138" s="261" t="s">
        <v>5152</v>
      </c>
      <c r="G138" s="264" t="s">
        <v>5177</v>
      </c>
      <c r="H138" s="264" t="s">
        <v>5184</v>
      </c>
    </row>
    <row r="139" spans="1:8">
      <c r="A139" s="261" t="s">
        <v>941</v>
      </c>
      <c r="B139" s="261" t="s">
        <v>942</v>
      </c>
      <c r="C139" s="261" t="s">
        <v>1654</v>
      </c>
      <c r="D139" s="261" t="s">
        <v>1655</v>
      </c>
      <c r="E139" s="277" t="s">
        <v>5167</v>
      </c>
      <c r="F139" s="261" t="s">
        <v>5168</v>
      </c>
      <c r="G139" s="264" t="s">
        <v>5177</v>
      </c>
      <c r="H139" s="264" t="s">
        <v>5188</v>
      </c>
    </row>
    <row r="140" spans="1:8">
      <c r="A140" s="261" t="s">
        <v>941</v>
      </c>
      <c r="B140" s="261" t="s">
        <v>942</v>
      </c>
      <c r="C140" s="261" t="s">
        <v>2012</v>
      </c>
      <c r="D140" s="261" t="s">
        <v>1997</v>
      </c>
      <c r="E140" s="277" t="s">
        <v>5155</v>
      </c>
      <c r="F140" s="261" t="s">
        <v>5156</v>
      </c>
      <c r="G140" s="264" t="s">
        <v>5177</v>
      </c>
      <c r="H140" s="264" t="s">
        <v>5187</v>
      </c>
    </row>
    <row r="141" spans="1:8">
      <c r="A141" s="261" t="s">
        <v>941</v>
      </c>
      <c r="B141" s="261" t="s">
        <v>942</v>
      </c>
      <c r="C141" s="261" t="s">
        <v>2013</v>
      </c>
      <c r="D141" s="261" t="s">
        <v>3486</v>
      </c>
      <c r="E141" s="277" t="s">
        <v>5151</v>
      </c>
      <c r="F141" s="261" t="s">
        <v>5152</v>
      </c>
      <c r="G141" s="264" t="s">
        <v>5177</v>
      </c>
      <c r="H141" s="264" t="s">
        <v>5184</v>
      </c>
    </row>
    <row r="142" spans="1:8">
      <c r="A142" s="261" t="s">
        <v>941</v>
      </c>
      <c r="B142" s="261" t="s">
        <v>942</v>
      </c>
      <c r="C142" s="261" t="s">
        <v>3487</v>
      </c>
      <c r="D142" s="261" t="s">
        <v>3488</v>
      </c>
      <c r="E142" s="277" t="s">
        <v>5153</v>
      </c>
      <c r="F142" s="261" t="s">
        <v>5154</v>
      </c>
      <c r="G142" s="264" t="s">
        <v>5179</v>
      </c>
      <c r="H142" s="264" t="s">
        <v>5180</v>
      </c>
    </row>
    <row r="143" spans="1:8">
      <c r="A143" s="261" t="s">
        <v>941</v>
      </c>
      <c r="B143" s="261" t="s">
        <v>942</v>
      </c>
      <c r="C143" s="261" t="s">
        <v>3489</v>
      </c>
      <c r="D143" s="261" t="s">
        <v>3490</v>
      </c>
      <c r="E143" s="277" t="s">
        <v>5155</v>
      </c>
      <c r="F143" s="261" t="s">
        <v>5156</v>
      </c>
      <c r="G143" s="264" t="s">
        <v>5177</v>
      </c>
      <c r="H143" s="264" t="s">
        <v>5187</v>
      </c>
    </row>
    <row r="144" spans="1:8">
      <c r="A144" s="261" t="s">
        <v>941</v>
      </c>
      <c r="B144" s="261" t="s">
        <v>942</v>
      </c>
      <c r="C144" s="261" t="s">
        <v>957</v>
      </c>
      <c r="D144" s="261" t="s">
        <v>1002</v>
      </c>
      <c r="E144" s="277" t="s">
        <v>5171</v>
      </c>
      <c r="F144" s="261" t="s">
        <v>5172</v>
      </c>
      <c r="G144" s="264" t="s">
        <v>5177</v>
      </c>
      <c r="H144" s="264" t="s">
        <v>5189</v>
      </c>
    </row>
    <row r="145" spans="1:8">
      <c r="A145" s="261" t="s">
        <v>941</v>
      </c>
      <c r="B145" s="261" t="s">
        <v>942</v>
      </c>
      <c r="C145" s="261" t="s">
        <v>3491</v>
      </c>
      <c r="D145" s="261" t="s">
        <v>3492</v>
      </c>
      <c r="E145" s="277" t="s">
        <v>5155</v>
      </c>
      <c r="F145" s="261" t="s">
        <v>5156</v>
      </c>
      <c r="G145" s="264" t="s">
        <v>5177</v>
      </c>
      <c r="H145" s="264" t="s">
        <v>5187</v>
      </c>
    </row>
    <row r="146" spans="1:8">
      <c r="A146" s="261" t="s">
        <v>44</v>
      </c>
      <c r="B146" s="261" t="s">
        <v>45</v>
      </c>
      <c r="C146" s="261" t="s">
        <v>48</v>
      </c>
      <c r="D146" s="261" t="s">
        <v>49</v>
      </c>
      <c r="E146" s="277" t="s">
        <v>5159</v>
      </c>
      <c r="F146" s="261" t="s">
        <v>5160</v>
      </c>
      <c r="G146" s="264" t="s">
        <v>5177</v>
      </c>
      <c r="H146" s="264" t="s">
        <v>5185</v>
      </c>
    </row>
    <row r="147" spans="1:8">
      <c r="A147" s="261" t="s">
        <v>44</v>
      </c>
      <c r="B147" s="261" t="s">
        <v>45</v>
      </c>
      <c r="C147" s="261" t="s">
        <v>58</v>
      </c>
      <c r="D147" s="261" t="s">
        <v>59</v>
      </c>
      <c r="E147" s="277" t="s">
        <v>5159</v>
      </c>
      <c r="F147" s="261" t="s">
        <v>5160</v>
      </c>
      <c r="G147" s="264" t="s">
        <v>5177</v>
      </c>
      <c r="H147" s="264" t="s">
        <v>5185</v>
      </c>
    </row>
    <row r="148" spans="1:8">
      <c r="A148" s="261" t="s">
        <v>44</v>
      </c>
      <c r="B148" s="261" t="s">
        <v>45</v>
      </c>
      <c r="C148" s="261" t="s">
        <v>61</v>
      </c>
      <c r="D148" s="261" t="s">
        <v>62</v>
      </c>
      <c r="E148" s="277" t="s">
        <v>5159</v>
      </c>
      <c r="F148" s="261" t="s">
        <v>5160</v>
      </c>
      <c r="G148" s="264" t="s">
        <v>5177</v>
      </c>
      <c r="H148" s="264" t="s">
        <v>5185</v>
      </c>
    </row>
    <row r="149" spans="1:8">
      <c r="A149" s="261" t="s">
        <v>44</v>
      </c>
      <c r="B149" s="261" t="s">
        <v>45</v>
      </c>
      <c r="C149" s="261" t="s">
        <v>63</v>
      </c>
      <c r="D149" s="261" t="s">
        <v>64</v>
      </c>
      <c r="E149" s="277" t="s">
        <v>5159</v>
      </c>
      <c r="F149" s="261" t="s">
        <v>5160</v>
      </c>
      <c r="G149" s="264" t="s">
        <v>5177</v>
      </c>
      <c r="H149" s="264" t="s">
        <v>5185</v>
      </c>
    </row>
    <row r="150" spans="1:8">
      <c r="A150" s="261" t="s">
        <v>44</v>
      </c>
      <c r="B150" s="261" t="s">
        <v>45</v>
      </c>
      <c r="C150" s="261" t="s">
        <v>675</v>
      </c>
      <c r="D150" s="261" t="s">
        <v>676</v>
      </c>
      <c r="E150" s="277" t="s">
        <v>5159</v>
      </c>
      <c r="F150" s="261" t="s">
        <v>5160</v>
      </c>
      <c r="G150" s="264" t="s">
        <v>5177</v>
      </c>
      <c r="H150" s="264" t="s">
        <v>5185</v>
      </c>
    </row>
    <row r="151" spans="1:8">
      <c r="A151" s="261" t="s">
        <v>44</v>
      </c>
      <c r="B151" s="261" t="s">
        <v>45</v>
      </c>
      <c r="C151" s="261" t="s">
        <v>68</v>
      </c>
      <c r="D151" s="261" t="s">
        <v>69</v>
      </c>
      <c r="E151" s="277" t="s">
        <v>5159</v>
      </c>
      <c r="F151" s="261" t="s">
        <v>5160</v>
      </c>
      <c r="G151" s="264" t="s">
        <v>5177</v>
      </c>
      <c r="H151" s="264" t="s">
        <v>5185</v>
      </c>
    </row>
    <row r="152" spans="1:8">
      <c r="A152" s="261" t="s">
        <v>44</v>
      </c>
      <c r="B152" s="261" t="s">
        <v>45</v>
      </c>
      <c r="C152" s="261" t="s">
        <v>70</v>
      </c>
      <c r="D152" s="261" t="s">
        <v>71</v>
      </c>
      <c r="E152" s="277" t="s">
        <v>5159</v>
      </c>
      <c r="F152" s="261" t="s">
        <v>5160</v>
      </c>
      <c r="G152" s="264" t="s">
        <v>5177</v>
      </c>
      <c r="H152" s="264" t="s">
        <v>5185</v>
      </c>
    </row>
    <row r="153" spans="1:8">
      <c r="A153" s="261" t="s">
        <v>44</v>
      </c>
      <c r="B153" s="261" t="s">
        <v>45</v>
      </c>
      <c r="C153" s="261" t="s">
        <v>72</v>
      </c>
      <c r="D153" s="261" t="s">
        <v>73</v>
      </c>
      <c r="E153" s="277" t="s">
        <v>5159</v>
      </c>
      <c r="F153" s="261" t="s">
        <v>5160</v>
      </c>
      <c r="G153" s="264" t="s">
        <v>5177</v>
      </c>
      <c r="H153" s="264" t="s">
        <v>5185</v>
      </c>
    </row>
    <row r="154" spans="1:8">
      <c r="A154" s="261" t="s">
        <v>44</v>
      </c>
      <c r="B154" s="261" t="s">
        <v>45</v>
      </c>
      <c r="C154" s="261" t="s">
        <v>75</v>
      </c>
      <c r="D154" s="261" t="s">
        <v>76</v>
      </c>
      <c r="E154" s="277" t="s">
        <v>5159</v>
      </c>
      <c r="F154" s="261" t="s">
        <v>5160</v>
      </c>
      <c r="G154" s="264" t="s">
        <v>5177</v>
      </c>
      <c r="H154" s="264" t="s">
        <v>5185</v>
      </c>
    </row>
    <row r="155" spans="1:8">
      <c r="A155" s="261" t="s">
        <v>44</v>
      </c>
      <c r="B155" s="261" t="s">
        <v>45</v>
      </c>
      <c r="C155" s="261" t="s">
        <v>679</v>
      </c>
      <c r="D155" s="261" t="s">
        <v>680</v>
      </c>
      <c r="E155" s="277" t="s">
        <v>5159</v>
      </c>
      <c r="F155" s="261" t="s">
        <v>5160</v>
      </c>
      <c r="G155" s="264" t="s">
        <v>5177</v>
      </c>
      <c r="H155" s="264" t="s">
        <v>5185</v>
      </c>
    </row>
    <row r="156" spans="1:8">
      <c r="A156" s="261" t="s">
        <v>44</v>
      </c>
      <c r="B156" s="261" t="s">
        <v>45</v>
      </c>
      <c r="C156" s="261" t="s">
        <v>1878</v>
      </c>
      <c r="D156" s="261" t="s">
        <v>934</v>
      </c>
      <c r="E156" s="277" t="s">
        <v>5159</v>
      </c>
      <c r="F156" s="261" t="s">
        <v>5160</v>
      </c>
      <c r="G156" s="264" t="s">
        <v>5177</v>
      </c>
      <c r="H156" s="264" t="s">
        <v>5185</v>
      </c>
    </row>
    <row r="157" spans="1:8">
      <c r="A157" s="261" t="s">
        <v>44</v>
      </c>
      <c r="B157" s="261" t="s">
        <v>45</v>
      </c>
      <c r="C157" s="261" t="s">
        <v>935</v>
      </c>
      <c r="D157" s="261" t="s">
        <v>936</v>
      </c>
      <c r="E157" s="277" t="s">
        <v>5159</v>
      </c>
      <c r="F157" s="261" t="s">
        <v>5160</v>
      </c>
      <c r="G157" s="264" t="s">
        <v>5177</v>
      </c>
      <c r="H157" s="264" t="s">
        <v>5185</v>
      </c>
    </row>
    <row r="158" spans="1:8">
      <c r="A158" s="261" t="s">
        <v>44</v>
      </c>
      <c r="B158" s="261" t="s">
        <v>45</v>
      </c>
      <c r="C158" s="261" t="s">
        <v>681</v>
      </c>
      <c r="D158" s="261" t="s">
        <v>682</v>
      </c>
      <c r="E158" s="277" t="s">
        <v>5159</v>
      </c>
      <c r="F158" s="261" t="s">
        <v>5160</v>
      </c>
      <c r="G158" s="264" t="s">
        <v>5177</v>
      </c>
      <c r="H158" s="264" t="s">
        <v>5185</v>
      </c>
    </row>
    <row r="159" spans="1:8">
      <c r="A159" s="261" t="s">
        <v>44</v>
      </c>
      <c r="B159" s="261" t="s">
        <v>45</v>
      </c>
      <c r="C159" s="261" t="s">
        <v>673</v>
      </c>
      <c r="D159" s="261" t="s">
        <v>674</v>
      </c>
      <c r="E159" s="277" t="s">
        <v>5159</v>
      </c>
      <c r="F159" s="261" t="s">
        <v>5160</v>
      </c>
      <c r="G159" s="264" t="s">
        <v>5177</v>
      </c>
      <c r="H159" s="264" t="s">
        <v>5185</v>
      </c>
    </row>
    <row r="160" spans="1:8">
      <c r="A160" s="261" t="s">
        <v>44</v>
      </c>
      <c r="B160" s="261" t="s">
        <v>45</v>
      </c>
      <c r="C160" s="261" t="s">
        <v>92</v>
      </c>
      <c r="D160" s="261" t="s">
        <v>1740</v>
      </c>
      <c r="E160" s="277" t="s">
        <v>5159</v>
      </c>
      <c r="F160" s="261" t="s">
        <v>5160</v>
      </c>
      <c r="G160" s="264" t="s">
        <v>5177</v>
      </c>
      <c r="H160" s="264" t="s">
        <v>5185</v>
      </c>
    </row>
    <row r="161" spans="1:8">
      <c r="A161" s="261" t="s">
        <v>44</v>
      </c>
      <c r="B161" s="261" t="s">
        <v>45</v>
      </c>
      <c r="C161" s="261" t="s">
        <v>117</v>
      </c>
      <c r="D161" s="261" t="s">
        <v>1741</v>
      </c>
      <c r="E161" s="277" t="s">
        <v>5159</v>
      </c>
      <c r="F161" s="261" t="s">
        <v>5160</v>
      </c>
      <c r="G161" s="264" t="s">
        <v>5177</v>
      </c>
      <c r="H161" s="264" t="s">
        <v>5185</v>
      </c>
    </row>
    <row r="162" spans="1:8">
      <c r="A162" s="261" t="s">
        <v>44</v>
      </c>
      <c r="B162" s="261" t="s">
        <v>45</v>
      </c>
      <c r="C162" s="261" t="s">
        <v>1913</v>
      </c>
      <c r="D162" s="261" t="s">
        <v>1914</v>
      </c>
      <c r="E162" s="277" t="s">
        <v>5159</v>
      </c>
      <c r="F162" s="261" t="s">
        <v>5160</v>
      </c>
      <c r="G162" s="264" t="s">
        <v>5177</v>
      </c>
      <c r="H162" s="264" t="s">
        <v>5185</v>
      </c>
    </row>
    <row r="163" spans="1:8">
      <c r="A163" s="261" t="s">
        <v>44</v>
      </c>
      <c r="B163" s="261" t="s">
        <v>45</v>
      </c>
      <c r="C163" s="261" t="s">
        <v>124</v>
      </c>
      <c r="D163" s="261" t="s">
        <v>1742</v>
      </c>
      <c r="E163" s="277" t="s">
        <v>5159</v>
      </c>
      <c r="F163" s="261" t="s">
        <v>5160</v>
      </c>
      <c r="G163" s="264" t="s">
        <v>5177</v>
      </c>
      <c r="H163" s="264" t="s">
        <v>5185</v>
      </c>
    </row>
    <row r="164" spans="1:8">
      <c r="A164" s="261" t="s">
        <v>44</v>
      </c>
      <c r="B164" s="261" t="s">
        <v>45</v>
      </c>
      <c r="C164" s="261" t="s">
        <v>130</v>
      </c>
      <c r="D164" s="261" t="s">
        <v>1743</v>
      </c>
      <c r="E164" s="277" t="s">
        <v>5159</v>
      </c>
      <c r="F164" s="261" t="s">
        <v>5160</v>
      </c>
      <c r="G164" s="264" t="s">
        <v>5177</v>
      </c>
      <c r="H164" s="264" t="s">
        <v>5185</v>
      </c>
    </row>
    <row r="165" spans="1:8">
      <c r="A165" s="261" t="s">
        <v>44</v>
      </c>
      <c r="B165" s="261" t="s">
        <v>45</v>
      </c>
      <c r="C165" s="261" t="s">
        <v>132</v>
      </c>
      <c r="D165" s="261" t="s">
        <v>1744</v>
      </c>
      <c r="E165" s="277" t="s">
        <v>5159</v>
      </c>
      <c r="F165" s="261" t="s">
        <v>5160</v>
      </c>
      <c r="G165" s="264" t="s">
        <v>5177</v>
      </c>
      <c r="H165" s="264" t="s">
        <v>5185</v>
      </c>
    </row>
    <row r="166" spans="1:8">
      <c r="A166" s="261" t="s">
        <v>44</v>
      </c>
      <c r="B166" s="261" t="s">
        <v>45</v>
      </c>
      <c r="C166" s="261" t="s">
        <v>134</v>
      </c>
      <c r="D166" s="261" t="s">
        <v>1915</v>
      </c>
      <c r="E166" s="277" t="s">
        <v>5159</v>
      </c>
      <c r="F166" s="261" t="s">
        <v>5160</v>
      </c>
      <c r="G166" s="264" t="s">
        <v>5177</v>
      </c>
      <c r="H166" s="264" t="s">
        <v>5185</v>
      </c>
    </row>
    <row r="167" spans="1:8">
      <c r="A167" s="261" t="s">
        <v>44</v>
      </c>
      <c r="B167" s="261" t="s">
        <v>45</v>
      </c>
      <c r="C167" s="261" t="s">
        <v>138</v>
      </c>
      <c r="D167" s="261" t="s">
        <v>1916</v>
      </c>
      <c r="E167" s="277" t="s">
        <v>5159</v>
      </c>
      <c r="F167" s="261" t="s">
        <v>5160</v>
      </c>
      <c r="G167" s="264" t="s">
        <v>5177</v>
      </c>
      <c r="H167" s="264" t="s">
        <v>5185</v>
      </c>
    </row>
    <row r="168" spans="1:8">
      <c r="A168" s="261" t="s">
        <v>44</v>
      </c>
      <c r="B168" s="261" t="s">
        <v>45</v>
      </c>
      <c r="C168" s="261" t="s">
        <v>1656</v>
      </c>
      <c r="D168" s="261" t="s">
        <v>1657</v>
      </c>
      <c r="E168" s="277" t="s">
        <v>5159</v>
      </c>
      <c r="F168" s="261" t="s">
        <v>5160</v>
      </c>
      <c r="G168" s="264" t="s">
        <v>5177</v>
      </c>
      <c r="H168" s="264" t="s">
        <v>5185</v>
      </c>
    </row>
    <row r="169" spans="1:8">
      <c r="A169" s="261" t="s">
        <v>44</v>
      </c>
      <c r="B169" s="261" t="s">
        <v>45</v>
      </c>
      <c r="C169" s="261" t="s">
        <v>142</v>
      </c>
      <c r="D169" s="261" t="s">
        <v>143</v>
      </c>
      <c r="E169" s="277" t="s">
        <v>5159</v>
      </c>
      <c r="F169" s="261" t="s">
        <v>5160</v>
      </c>
      <c r="G169" s="264" t="s">
        <v>5177</v>
      </c>
      <c r="H169" s="264" t="s">
        <v>5185</v>
      </c>
    </row>
    <row r="170" spans="1:8">
      <c r="A170" s="261" t="s">
        <v>44</v>
      </c>
      <c r="B170" s="261" t="s">
        <v>45</v>
      </c>
      <c r="C170" s="261" t="s">
        <v>142</v>
      </c>
      <c r="D170" s="261" t="s">
        <v>143</v>
      </c>
      <c r="E170" s="277" t="s">
        <v>5169</v>
      </c>
      <c r="F170" s="261" t="s">
        <v>5170</v>
      </c>
      <c r="G170" s="264" t="s">
        <v>5177</v>
      </c>
      <c r="H170" s="264" t="s">
        <v>5190</v>
      </c>
    </row>
    <row r="171" spans="1:8">
      <c r="A171" s="261" t="s">
        <v>44</v>
      </c>
      <c r="B171" s="261" t="s">
        <v>45</v>
      </c>
      <c r="C171" s="261" t="s">
        <v>144</v>
      </c>
      <c r="D171" s="261" t="s">
        <v>1745</v>
      </c>
      <c r="E171" s="277" t="s">
        <v>5159</v>
      </c>
      <c r="F171" s="261" t="s">
        <v>5160</v>
      </c>
      <c r="G171" s="264" t="s">
        <v>5177</v>
      </c>
      <c r="H171" s="264" t="s">
        <v>5185</v>
      </c>
    </row>
    <row r="172" spans="1:8">
      <c r="A172" s="261" t="s">
        <v>44</v>
      </c>
      <c r="B172" s="261" t="s">
        <v>45</v>
      </c>
      <c r="C172" s="261" t="s">
        <v>145</v>
      </c>
      <c r="D172" s="261" t="s">
        <v>1235</v>
      </c>
      <c r="E172" s="277" t="s">
        <v>5159</v>
      </c>
      <c r="F172" s="261" t="s">
        <v>5160</v>
      </c>
      <c r="G172" s="264" t="s">
        <v>5177</v>
      </c>
      <c r="H172" s="264" t="s">
        <v>5185</v>
      </c>
    </row>
    <row r="173" spans="1:8">
      <c r="A173" s="261" t="s">
        <v>44</v>
      </c>
      <c r="B173" s="261" t="s">
        <v>45</v>
      </c>
      <c r="C173" s="261" t="s">
        <v>174</v>
      </c>
      <c r="D173" s="261" t="s">
        <v>1236</v>
      </c>
      <c r="E173" s="277" t="s">
        <v>5159</v>
      </c>
      <c r="F173" s="261" t="s">
        <v>5160</v>
      </c>
      <c r="G173" s="264" t="s">
        <v>5177</v>
      </c>
      <c r="H173" s="264" t="s">
        <v>5185</v>
      </c>
    </row>
    <row r="174" spans="1:8">
      <c r="A174" s="261" t="s">
        <v>44</v>
      </c>
      <c r="B174" s="261" t="s">
        <v>45</v>
      </c>
      <c r="C174" s="261" t="s">
        <v>177</v>
      </c>
      <c r="D174" s="261" t="s">
        <v>1237</v>
      </c>
      <c r="E174" s="277" t="s">
        <v>5159</v>
      </c>
      <c r="F174" s="261" t="s">
        <v>5160</v>
      </c>
      <c r="G174" s="264" t="s">
        <v>5177</v>
      </c>
      <c r="H174" s="264" t="s">
        <v>5185</v>
      </c>
    </row>
    <row r="175" spans="1:8">
      <c r="A175" s="261" t="s">
        <v>44</v>
      </c>
      <c r="B175" s="261" t="s">
        <v>45</v>
      </c>
      <c r="C175" s="261" t="s">
        <v>180</v>
      </c>
      <c r="D175" s="261" t="s">
        <v>1238</v>
      </c>
      <c r="E175" s="277" t="s">
        <v>5159</v>
      </c>
      <c r="F175" s="261" t="s">
        <v>5160</v>
      </c>
      <c r="G175" s="264" t="s">
        <v>5177</v>
      </c>
      <c r="H175" s="264" t="s">
        <v>5185</v>
      </c>
    </row>
    <row r="176" spans="1:8">
      <c r="A176" s="261" t="s">
        <v>44</v>
      </c>
      <c r="B176" s="261" t="s">
        <v>45</v>
      </c>
      <c r="C176" s="261" t="s">
        <v>184</v>
      </c>
      <c r="D176" s="261" t="s">
        <v>1239</v>
      </c>
      <c r="E176" s="277" t="s">
        <v>5159</v>
      </c>
      <c r="F176" s="261" t="s">
        <v>5160</v>
      </c>
      <c r="G176" s="264" t="s">
        <v>5177</v>
      </c>
      <c r="H176" s="264" t="s">
        <v>5185</v>
      </c>
    </row>
    <row r="177" spans="1:8">
      <c r="A177" s="261" t="s">
        <v>44</v>
      </c>
      <c r="B177" s="261" t="s">
        <v>45</v>
      </c>
      <c r="C177" s="261" t="s">
        <v>185</v>
      </c>
      <c r="D177" s="261" t="s">
        <v>1240</v>
      </c>
      <c r="E177" s="277" t="s">
        <v>5159</v>
      </c>
      <c r="F177" s="261" t="s">
        <v>5160</v>
      </c>
      <c r="G177" s="264" t="s">
        <v>5177</v>
      </c>
      <c r="H177" s="264" t="s">
        <v>5185</v>
      </c>
    </row>
    <row r="178" spans="1:8">
      <c r="A178" s="261" t="s">
        <v>44</v>
      </c>
      <c r="B178" s="261" t="s">
        <v>45</v>
      </c>
      <c r="C178" s="261" t="s">
        <v>187</v>
      </c>
      <c r="D178" s="261" t="s">
        <v>1241</v>
      </c>
      <c r="E178" s="277" t="s">
        <v>5159</v>
      </c>
      <c r="F178" s="261" t="s">
        <v>5160</v>
      </c>
      <c r="G178" s="264" t="s">
        <v>5177</v>
      </c>
      <c r="H178" s="264" t="s">
        <v>5185</v>
      </c>
    </row>
    <row r="179" spans="1:8">
      <c r="A179" s="261" t="s">
        <v>44</v>
      </c>
      <c r="B179" s="261" t="s">
        <v>45</v>
      </c>
      <c r="C179" s="261" t="s">
        <v>193</v>
      </c>
      <c r="D179" s="261" t="s">
        <v>1242</v>
      </c>
      <c r="E179" s="277" t="s">
        <v>5159</v>
      </c>
      <c r="F179" s="261" t="s">
        <v>5160</v>
      </c>
      <c r="G179" s="264" t="s">
        <v>5177</v>
      </c>
      <c r="H179" s="264" t="s">
        <v>5185</v>
      </c>
    </row>
    <row r="180" spans="1:8">
      <c r="A180" s="261" t="s">
        <v>44</v>
      </c>
      <c r="B180" s="261" t="s">
        <v>45</v>
      </c>
      <c r="C180" s="261" t="s">
        <v>194</v>
      </c>
      <c r="D180" s="261" t="s">
        <v>1243</v>
      </c>
      <c r="E180" s="277" t="s">
        <v>5159</v>
      </c>
      <c r="F180" s="261" t="s">
        <v>5160</v>
      </c>
      <c r="G180" s="264" t="s">
        <v>5177</v>
      </c>
      <c r="H180" s="264" t="s">
        <v>5185</v>
      </c>
    </row>
    <row r="181" spans="1:8">
      <c r="A181" s="261" t="s">
        <v>44</v>
      </c>
      <c r="B181" s="261" t="s">
        <v>45</v>
      </c>
      <c r="C181" s="261" t="s">
        <v>1917</v>
      </c>
      <c r="D181" s="261" t="s">
        <v>1918</v>
      </c>
      <c r="E181" s="277" t="s">
        <v>5159</v>
      </c>
      <c r="F181" s="261" t="s">
        <v>5160</v>
      </c>
      <c r="G181" s="264" t="s">
        <v>5177</v>
      </c>
      <c r="H181" s="264" t="s">
        <v>5185</v>
      </c>
    </row>
    <row r="182" spans="1:8">
      <c r="A182" s="261" t="s">
        <v>44</v>
      </c>
      <c r="B182" s="261" t="s">
        <v>45</v>
      </c>
      <c r="C182" s="261" t="s">
        <v>671</v>
      </c>
      <c r="D182" s="261" t="s">
        <v>672</v>
      </c>
      <c r="E182" s="277" t="s">
        <v>5159</v>
      </c>
      <c r="F182" s="261" t="s">
        <v>5160</v>
      </c>
      <c r="G182" s="264" t="s">
        <v>5177</v>
      </c>
      <c r="H182" s="264" t="s">
        <v>5185</v>
      </c>
    </row>
    <row r="183" spans="1:8">
      <c r="A183" s="261" t="s">
        <v>44</v>
      </c>
      <c r="B183" s="261" t="s">
        <v>45</v>
      </c>
      <c r="C183" s="261" t="s">
        <v>1658</v>
      </c>
      <c r="D183" s="261" t="s">
        <v>1919</v>
      </c>
      <c r="E183" s="277" t="s">
        <v>5159</v>
      </c>
      <c r="F183" s="261" t="s">
        <v>5160</v>
      </c>
      <c r="G183" s="264" t="s">
        <v>5177</v>
      </c>
      <c r="H183" s="264" t="s">
        <v>5185</v>
      </c>
    </row>
    <row r="184" spans="1:8">
      <c r="A184" s="261" t="s">
        <v>44</v>
      </c>
      <c r="B184" s="261" t="s">
        <v>45</v>
      </c>
      <c r="C184" s="261" t="s">
        <v>1747</v>
      </c>
      <c r="D184" s="261" t="s">
        <v>1920</v>
      </c>
      <c r="E184" s="277" t="s">
        <v>5159</v>
      </c>
      <c r="F184" s="261" t="s">
        <v>5160</v>
      </c>
      <c r="G184" s="264" t="s">
        <v>5177</v>
      </c>
      <c r="H184" s="264" t="s">
        <v>5185</v>
      </c>
    </row>
    <row r="185" spans="1:8">
      <c r="A185" s="261" t="s">
        <v>44</v>
      </c>
      <c r="B185" s="261" t="s">
        <v>45</v>
      </c>
      <c r="C185" s="261" t="s">
        <v>1921</v>
      </c>
      <c r="D185" s="261" t="s">
        <v>1922</v>
      </c>
      <c r="E185" s="277" t="s">
        <v>5159</v>
      </c>
      <c r="F185" s="261" t="s">
        <v>5160</v>
      </c>
      <c r="G185" s="264" t="s">
        <v>5177</v>
      </c>
      <c r="H185" s="264" t="s">
        <v>5185</v>
      </c>
    </row>
    <row r="186" spans="1:8">
      <c r="A186" s="261" t="s">
        <v>44</v>
      </c>
      <c r="B186" s="261" t="s">
        <v>45</v>
      </c>
      <c r="C186" s="261" t="s">
        <v>1923</v>
      </c>
      <c r="D186" s="261" t="s">
        <v>1924</v>
      </c>
      <c r="E186" s="277" t="s">
        <v>5159</v>
      </c>
      <c r="F186" s="261" t="s">
        <v>5160</v>
      </c>
      <c r="G186" s="264" t="s">
        <v>5177</v>
      </c>
      <c r="H186" s="264" t="s">
        <v>5185</v>
      </c>
    </row>
    <row r="187" spans="1:8">
      <c r="A187" s="261" t="s">
        <v>44</v>
      </c>
      <c r="B187" s="261" t="s">
        <v>45</v>
      </c>
      <c r="C187" s="261" t="s">
        <v>3493</v>
      </c>
      <c r="D187" s="261" t="s">
        <v>3494</v>
      </c>
      <c r="E187" s="277" t="s">
        <v>5159</v>
      </c>
      <c r="F187" s="261" t="s">
        <v>5160</v>
      </c>
      <c r="G187" s="264" t="s">
        <v>5177</v>
      </c>
      <c r="H187" s="264" t="s">
        <v>5185</v>
      </c>
    </row>
    <row r="188" spans="1:8">
      <c r="A188" s="261" t="s">
        <v>44</v>
      </c>
      <c r="B188" s="261" t="s">
        <v>45</v>
      </c>
      <c r="C188" s="261" t="s">
        <v>677</v>
      </c>
      <c r="D188" s="261" t="s">
        <v>678</v>
      </c>
      <c r="E188" s="277" t="s">
        <v>5159</v>
      </c>
      <c r="F188" s="261" t="s">
        <v>5160</v>
      </c>
      <c r="G188" s="264" t="s">
        <v>5177</v>
      </c>
      <c r="H188" s="264" t="s">
        <v>5185</v>
      </c>
    </row>
    <row r="189" spans="1:8">
      <c r="A189" s="261" t="s">
        <v>44</v>
      </c>
      <c r="B189" s="261" t="s">
        <v>45</v>
      </c>
      <c r="C189" s="261" t="s">
        <v>233</v>
      </c>
      <c r="D189" s="261" t="s">
        <v>1653</v>
      </c>
      <c r="E189" s="277" t="s">
        <v>5159</v>
      </c>
      <c r="F189" s="261" t="s">
        <v>5160</v>
      </c>
      <c r="G189" s="264" t="s">
        <v>5177</v>
      </c>
      <c r="H189" s="264" t="s">
        <v>5185</v>
      </c>
    </row>
    <row r="190" spans="1:8">
      <c r="A190" s="261" t="s">
        <v>44</v>
      </c>
      <c r="B190" s="261" t="s">
        <v>45</v>
      </c>
      <c r="C190" s="261" t="s">
        <v>684</v>
      </c>
      <c r="D190" s="261" t="s">
        <v>685</v>
      </c>
      <c r="E190" s="277" t="s">
        <v>5159</v>
      </c>
      <c r="F190" s="261" t="s">
        <v>5160</v>
      </c>
      <c r="G190" s="264" t="s">
        <v>5177</v>
      </c>
      <c r="H190" s="264" t="s">
        <v>5185</v>
      </c>
    </row>
    <row r="191" spans="1:8">
      <c r="A191" s="261" t="s">
        <v>44</v>
      </c>
      <c r="B191" s="261" t="s">
        <v>45</v>
      </c>
      <c r="C191" s="261" t="s">
        <v>2003</v>
      </c>
      <c r="D191" s="261" t="s">
        <v>1997</v>
      </c>
      <c r="E191" s="277" t="s">
        <v>5159</v>
      </c>
      <c r="F191" s="261" t="s">
        <v>5160</v>
      </c>
      <c r="G191" s="264" t="s">
        <v>5177</v>
      </c>
      <c r="H191" s="264" t="s">
        <v>5185</v>
      </c>
    </row>
    <row r="192" spans="1:8">
      <c r="A192" s="261" t="s">
        <v>44</v>
      </c>
      <c r="B192" s="261" t="s">
        <v>45</v>
      </c>
      <c r="C192" s="261" t="s">
        <v>2004</v>
      </c>
      <c r="D192" s="261" t="s">
        <v>3482</v>
      </c>
      <c r="E192" s="277" t="s">
        <v>5159</v>
      </c>
      <c r="F192" s="261" t="s">
        <v>5160</v>
      </c>
      <c r="G192" s="264" t="s">
        <v>5177</v>
      </c>
      <c r="H192" s="264" t="s">
        <v>5185</v>
      </c>
    </row>
    <row r="193" spans="1:8">
      <c r="A193" s="261" t="s">
        <v>44</v>
      </c>
      <c r="B193" s="261" t="s">
        <v>45</v>
      </c>
      <c r="C193" s="261" t="s">
        <v>3495</v>
      </c>
      <c r="D193" s="261" t="s">
        <v>3496</v>
      </c>
      <c r="E193" s="277" t="s">
        <v>5159</v>
      </c>
      <c r="F193" s="261" t="s">
        <v>5160</v>
      </c>
      <c r="G193" s="264" t="s">
        <v>5177</v>
      </c>
      <c r="H193" s="264" t="s">
        <v>5185</v>
      </c>
    </row>
    <row r="194" spans="1:8">
      <c r="A194" s="261" t="s">
        <v>537</v>
      </c>
      <c r="B194" s="261" t="s">
        <v>937</v>
      </c>
      <c r="C194" s="261" t="s">
        <v>688</v>
      </c>
      <c r="D194" s="261" t="s">
        <v>689</v>
      </c>
      <c r="E194" s="277" t="s">
        <v>5153</v>
      </c>
      <c r="F194" s="261" t="s">
        <v>5154</v>
      </c>
      <c r="G194" s="264" t="s">
        <v>5179</v>
      </c>
      <c r="H194" s="264" t="s">
        <v>5180</v>
      </c>
    </row>
    <row r="195" spans="1:8">
      <c r="A195" s="261" t="s">
        <v>537</v>
      </c>
      <c r="B195" s="261" t="s">
        <v>937</v>
      </c>
      <c r="C195" s="261" t="s">
        <v>690</v>
      </c>
      <c r="D195" s="261" t="s">
        <v>691</v>
      </c>
      <c r="E195" s="277" t="s">
        <v>5153</v>
      </c>
      <c r="F195" s="261" t="s">
        <v>5154</v>
      </c>
      <c r="G195" s="264" t="s">
        <v>5179</v>
      </c>
      <c r="H195" s="264" t="s">
        <v>5180</v>
      </c>
    </row>
    <row r="196" spans="1:8">
      <c r="A196" s="261" t="s">
        <v>537</v>
      </c>
      <c r="B196" s="261" t="s">
        <v>937</v>
      </c>
      <c r="C196" s="261" t="s">
        <v>938</v>
      </c>
      <c r="D196" s="261" t="s">
        <v>939</v>
      </c>
      <c r="E196" s="277" t="s">
        <v>5153</v>
      </c>
      <c r="F196" s="261" t="s">
        <v>5154</v>
      </c>
      <c r="G196" s="264" t="s">
        <v>5179</v>
      </c>
      <c r="H196" s="264" t="s">
        <v>5180</v>
      </c>
    </row>
    <row r="197" spans="1:8">
      <c r="A197" s="261" t="s">
        <v>537</v>
      </c>
      <c r="B197" s="261" t="s">
        <v>937</v>
      </c>
      <c r="C197" s="261" t="s">
        <v>692</v>
      </c>
      <c r="D197" s="261" t="s">
        <v>693</v>
      </c>
      <c r="E197" s="277" t="s">
        <v>5153</v>
      </c>
      <c r="F197" s="261" t="s">
        <v>5154</v>
      </c>
      <c r="G197" s="264" t="s">
        <v>5179</v>
      </c>
      <c r="H197" s="264" t="s">
        <v>5180</v>
      </c>
    </row>
    <row r="198" spans="1:8">
      <c r="A198" s="261" t="s">
        <v>537</v>
      </c>
      <c r="B198" s="261" t="s">
        <v>937</v>
      </c>
      <c r="C198" s="261" t="s">
        <v>940</v>
      </c>
      <c r="D198" s="261" t="s">
        <v>934</v>
      </c>
      <c r="E198" s="277" t="s">
        <v>5153</v>
      </c>
      <c r="F198" s="261" t="s">
        <v>5154</v>
      </c>
      <c r="G198" s="264" t="s">
        <v>5179</v>
      </c>
      <c r="H198" s="264" t="s">
        <v>5180</v>
      </c>
    </row>
    <row r="199" spans="1:8">
      <c r="A199" s="261" t="s">
        <v>537</v>
      </c>
      <c r="B199" s="261" t="s">
        <v>937</v>
      </c>
      <c r="C199" s="261" t="s">
        <v>694</v>
      </c>
      <c r="D199" s="261" t="s">
        <v>1746</v>
      </c>
      <c r="E199" s="277" t="s">
        <v>5153</v>
      </c>
      <c r="F199" s="261" t="s">
        <v>5154</v>
      </c>
      <c r="G199" s="264" t="s">
        <v>5179</v>
      </c>
      <c r="H199" s="264" t="s">
        <v>5180</v>
      </c>
    </row>
    <row r="200" spans="1:8">
      <c r="A200" s="261" t="s">
        <v>537</v>
      </c>
      <c r="B200" s="261" t="s">
        <v>937</v>
      </c>
      <c r="C200" s="261" t="s">
        <v>695</v>
      </c>
      <c r="D200" s="261" t="s">
        <v>1244</v>
      </c>
      <c r="E200" s="277" t="s">
        <v>5153</v>
      </c>
      <c r="F200" s="261" t="s">
        <v>5154</v>
      </c>
      <c r="G200" s="264" t="s">
        <v>5179</v>
      </c>
      <c r="H200" s="264" t="s">
        <v>5180</v>
      </c>
    </row>
    <row r="201" spans="1:8">
      <c r="A201" s="261" t="s">
        <v>537</v>
      </c>
      <c r="B201" s="261" t="s">
        <v>937</v>
      </c>
      <c r="C201" s="261" t="s">
        <v>696</v>
      </c>
      <c r="D201" s="261" t="s">
        <v>697</v>
      </c>
      <c r="E201" s="277" t="s">
        <v>5153</v>
      </c>
      <c r="F201" s="261" t="s">
        <v>5154</v>
      </c>
      <c r="G201" s="264" t="s">
        <v>5179</v>
      </c>
      <c r="H201" s="264" t="s">
        <v>5180</v>
      </c>
    </row>
    <row r="202" spans="1:8">
      <c r="A202" s="261" t="s">
        <v>537</v>
      </c>
      <c r="B202" s="261" t="s">
        <v>937</v>
      </c>
      <c r="C202" s="261" t="s">
        <v>698</v>
      </c>
      <c r="D202" s="261" t="s">
        <v>683</v>
      </c>
      <c r="E202" s="277" t="s">
        <v>5153</v>
      </c>
      <c r="F202" s="261" t="s">
        <v>5154</v>
      </c>
      <c r="G202" s="264" t="s">
        <v>5179</v>
      </c>
      <c r="H202" s="264" t="s">
        <v>5180</v>
      </c>
    </row>
    <row r="203" spans="1:8">
      <c r="A203" s="261" t="s">
        <v>537</v>
      </c>
      <c r="B203" s="261" t="s">
        <v>937</v>
      </c>
      <c r="C203" s="261" t="s">
        <v>1996</v>
      </c>
      <c r="D203" s="261" t="s">
        <v>1997</v>
      </c>
      <c r="E203" s="277" t="s">
        <v>5153</v>
      </c>
      <c r="F203" s="261" t="s">
        <v>5154</v>
      </c>
      <c r="G203" s="264" t="s">
        <v>5179</v>
      </c>
      <c r="H203" s="264" t="s">
        <v>5180</v>
      </c>
    </row>
    <row r="204" spans="1:8">
      <c r="A204" s="261" t="s">
        <v>537</v>
      </c>
      <c r="B204" s="261" t="s">
        <v>937</v>
      </c>
      <c r="C204" s="261" t="s">
        <v>1998</v>
      </c>
      <c r="D204" s="261" t="s">
        <v>3482</v>
      </c>
      <c r="E204" s="277" t="s">
        <v>5153</v>
      </c>
      <c r="F204" s="261" t="s">
        <v>5154</v>
      </c>
      <c r="G204" s="264" t="s">
        <v>5179</v>
      </c>
      <c r="H204" s="264" t="s">
        <v>5180</v>
      </c>
    </row>
    <row r="205" spans="1:8">
      <c r="A205" s="261" t="s">
        <v>537</v>
      </c>
      <c r="B205" s="261" t="s">
        <v>937</v>
      </c>
      <c r="C205" s="261" t="s">
        <v>3497</v>
      </c>
      <c r="D205" s="261" t="s">
        <v>3498</v>
      </c>
      <c r="E205" s="277" t="s">
        <v>5153</v>
      </c>
      <c r="F205" s="261" t="s">
        <v>5154</v>
      </c>
      <c r="G205" s="264" t="s">
        <v>5179</v>
      </c>
      <c r="H205" s="264" t="s">
        <v>5180</v>
      </c>
    </row>
    <row r="206" spans="1:8">
      <c r="A206" s="261" t="s">
        <v>965</v>
      </c>
      <c r="B206" s="261" t="s">
        <v>966</v>
      </c>
      <c r="C206" s="261" t="s">
        <v>967</v>
      </c>
      <c r="D206" s="261" t="s">
        <v>968</v>
      </c>
      <c r="E206" s="277" t="s">
        <v>5153</v>
      </c>
      <c r="F206" s="261" t="s">
        <v>5154</v>
      </c>
      <c r="G206" s="264" t="s">
        <v>5179</v>
      </c>
      <c r="H206" s="264" t="s">
        <v>5180</v>
      </c>
    </row>
    <row r="207" spans="1:8">
      <c r="A207" s="261" t="s">
        <v>965</v>
      </c>
      <c r="B207" s="261" t="s">
        <v>966</v>
      </c>
      <c r="C207" s="261" t="s">
        <v>969</v>
      </c>
      <c r="D207" s="261" t="s">
        <v>3499</v>
      </c>
      <c r="E207" s="277" t="s">
        <v>5153</v>
      </c>
      <c r="F207" s="261" t="s">
        <v>5154</v>
      </c>
      <c r="G207" s="264" t="s">
        <v>5179</v>
      </c>
      <c r="H207" s="264" t="s">
        <v>5180</v>
      </c>
    </row>
    <row r="208" spans="1:8">
      <c r="A208" s="261" t="s">
        <v>970</v>
      </c>
      <c r="B208" s="261" t="s">
        <v>971</v>
      </c>
      <c r="C208" s="261" t="s">
        <v>972</v>
      </c>
      <c r="D208" s="261" t="s">
        <v>973</v>
      </c>
      <c r="E208" s="277" t="s">
        <v>5161</v>
      </c>
      <c r="F208" s="261" t="s">
        <v>5162</v>
      </c>
      <c r="G208" s="264" t="s">
        <v>5178</v>
      </c>
      <c r="H208" s="264" t="s">
        <v>5183</v>
      </c>
    </row>
    <row r="209" spans="1:8">
      <c r="A209" s="261" t="s">
        <v>970</v>
      </c>
      <c r="B209" s="261" t="s">
        <v>971</v>
      </c>
      <c r="C209" s="261" t="s">
        <v>974</v>
      </c>
      <c r="D209" s="261" t="s">
        <v>975</v>
      </c>
      <c r="E209" s="277" t="s">
        <v>5161</v>
      </c>
      <c r="F209" s="261" t="s">
        <v>5162</v>
      </c>
      <c r="G209" s="264" t="s">
        <v>5178</v>
      </c>
      <c r="H209" s="264" t="s">
        <v>5183</v>
      </c>
    </row>
    <row r="210" spans="1:8">
      <c r="A210" s="261" t="s">
        <v>970</v>
      </c>
      <c r="B210" s="261" t="s">
        <v>971</v>
      </c>
      <c r="C210" s="261" t="s">
        <v>976</v>
      </c>
      <c r="D210" s="261" t="s">
        <v>1245</v>
      </c>
      <c r="E210" s="277" t="s">
        <v>5161</v>
      </c>
      <c r="F210" s="261" t="s">
        <v>5162</v>
      </c>
      <c r="G210" s="264" t="s">
        <v>5178</v>
      </c>
      <c r="H210" s="264" t="s">
        <v>5183</v>
      </c>
    </row>
    <row r="211" spans="1:8">
      <c r="A211" s="261" t="s">
        <v>970</v>
      </c>
      <c r="B211" s="261" t="s">
        <v>971</v>
      </c>
      <c r="C211" s="261" t="s">
        <v>977</v>
      </c>
      <c r="D211" s="261" t="s">
        <v>978</v>
      </c>
      <c r="E211" s="277" t="s">
        <v>5161</v>
      </c>
      <c r="F211" s="261" t="s">
        <v>5162</v>
      </c>
      <c r="G211" s="264" t="s">
        <v>5178</v>
      </c>
      <c r="H211" s="264" t="s">
        <v>5183</v>
      </c>
    </row>
    <row r="212" spans="1:8">
      <c r="A212" s="261" t="s">
        <v>979</v>
      </c>
      <c r="B212" s="261" t="s">
        <v>980</v>
      </c>
      <c r="C212" s="261" t="s">
        <v>981</v>
      </c>
      <c r="D212" s="261" t="s">
        <v>982</v>
      </c>
      <c r="E212" s="277" t="s">
        <v>5173</v>
      </c>
      <c r="F212" s="261" t="s">
        <v>5174</v>
      </c>
      <c r="G212" s="264" t="s">
        <v>5179</v>
      </c>
      <c r="H212" s="264" t="s">
        <v>5191</v>
      </c>
    </row>
    <row r="213" spans="1:8">
      <c r="A213" s="261" t="s">
        <v>979</v>
      </c>
      <c r="B213" s="261" t="s">
        <v>980</v>
      </c>
      <c r="C213" s="261" t="s">
        <v>983</v>
      </c>
      <c r="D213" s="261" t="s">
        <v>984</v>
      </c>
      <c r="E213" s="277" t="s">
        <v>5173</v>
      </c>
      <c r="F213" s="261" t="s">
        <v>5174</v>
      </c>
      <c r="G213" s="264" t="s">
        <v>5179</v>
      </c>
      <c r="H213" s="264" t="s">
        <v>5191</v>
      </c>
    </row>
    <row r="214" spans="1:8">
      <c r="A214" s="261" t="s">
        <v>979</v>
      </c>
      <c r="B214" s="261" t="s">
        <v>980</v>
      </c>
      <c r="C214" s="261" t="s">
        <v>985</v>
      </c>
      <c r="D214" s="261" t="s">
        <v>986</v>
      </c>
      <c r="E214" s="277" t="s">
        <v>5175</v>
      </c>
      <c r="F214" s="261" t="s">
        <v>5176</v>
      </c>
      <c r="G214" s="264" t="s">
        <v>5181</v>
      </c>
      <c r="H214" s="264" t="s">
        <v>5182</v>
      </c>
    </row>
    <row r="215" spans="1:8">
      <c r="A215" s="261" t="s">
        <v>979</v>
      </c>
      <c r="B215" s="261" t="s">
        <v>980</v>
      </c>
      <c r="C215" s="261" t="s">
        <v>987</v>
      </c>
      <c r="D215" s="261" t="s">
        <v>988</v>
      </c>
      <c r="E215" s="277" t="s">
        <v>5173</v>
      </c>
      <c r="F215" s="261" t="s">
        <v>5174</v>
      </c>
      <c r="G215" s="264" t="s">
        <v>5179</v>
      </c>
      <c r="H215" s="264" t="s">
        <v>5191</v>
      </c>
    </row>
    <row r="216" spans="1:8">
      <c r="A216" s="261" t="s">
        <v>979</v>
      </c>
      <c r="B216" s="261" t="s">
        <v>980</v>
      </c>
      <c r="C216" s="261" t="s">
        <v>989</v>
      </c>
      <c r="D216" s="261" t="s">
        <v>990</v>
      </c>
      <c r="E216" s="277" t="s">
        <v>5173</v>
      </c>
      <c r="F216" s="261" t="s">
        <v>5174</v>
      </c>
      <c r="G216" s="264" t="s">
        <v>5179</v>
      </c>
      <c r="H216" s="264" t="s">
        <v>5191</v>
      </c>
    </row>
    <row r="217" spans="1:8">
      <c r="A217" s="261" t="s">
        <v>979</v>
      </c>
      <c r="B217" s="261" t="s">
        <v>980</v>
      </c>
      <c r="C217" s="261" t="s">
        <v>991</v>
      </c>
      <c r="D217" s="261" t="s">
        <v>992</v>
      </c>
      <c r="E217" s="277" t="s">
        <v>5173</v>
      </c>
      <c r="F217" s="261" t="s">
        <v>5174</v>
      </c>
      <c r="G217" s="264" t="s">
        <v>5179</v>
      </c>
      <c r="H217" s="264" t="s">
        <v>5191</v>
      </c>
    </row>
    <row r="218" spans="1:8">
      <c r="A218" s="261" t="s">
        <v>979</v>
      </c>
      <c r="B218" s="261" t="s">
        <v>980</v>
      </c>
      <c r="C218" s="261" t="s">
        <v>993</v>
      </c>
      <c r="D218" s="261" t="s">
        <v>994</v>
      </c>
      <c r="E218" s="277" t="s">
        <v>5173</v>
      </c>
      <c r="F218" s="261" t="s">
        <v>5174</v>
      </c>
      <c r="G218" s="264" t="s">
        <v>5179</v>
      </c>
      <c r="H218" s="264" t="s">
        <v>5191</v>
      </c>
    </row>
    <row r="219" spans="1:8">
      <c r="A219" s="261" t="s">
        <v>979</v>
      </c>
      <c r="B219" s="261" t="s">
        <v>980</v>
      </c>
      <c r="C219" s="261" t="s">
        <v>993</v>
      </c>
      <c r="D219" s="261" t="s">
        <v>994</v>
      </c>
      <c r="E219" s="277" t="s">
        <v>5155</v>
      </c>
      <c r="F219" s="261" t="s">
        <v>5156</v>
      </c>
      <c r="G219" s="264" t="s">
        <v>5177</v>
      </c>
      <c r="H219" s="264" t="s">
        <v>5187</v>
      </c>
    </row>
    <row r="220" spans="1:8">
      <c r="A220" s="261" t="s">
        <v>979</v>
      </c>
      <c r="B220" s="261" t="s">
        <v>980</v>
      </c>
      <c r="C220" s="261" t="s">
        <v>1659</v>
      </c>
      <c r="D220" s="261" t="s">
        <v>1660</v>
      </c>
      <c r="E220" s="277" t="s">
        <v>5173</v>
      </c>
      <c r="F220" s="261" t="s">
        <v>5174</v>
      </c>
      <c r="G220" s="264" t="s">
        <v>5179</v>
      </c>
      <c r="H220" s="264" t="s">
        <v>5191</v>
      </c>
    </row>
    <row r="221" spans="1:8">
      <c r="A221" s="261" t="s">
        <v>979</v>
      </c>
      <c r="B221" s="261" t="s">
        <v>980</v>
      </c>
      <c r="C221" s="261" t="s">
        <v>3500</v>
      </c>
      <c r="D221" s="261" t="s">
        <v>3501</v>
      </c>
      <c r="E221" s="277" t="s">
        <v>5173</v>
      </c>
      <c r="F221" s="261" t="s">
        <v>5174</v>
      </c>
      <c r="G221" s="264" t="s">
        <v>5179</v>
      </c>
      <c r="H221" s="264" t="s">
        <v>5191</v>
      </c>
    </row>
    <row r="222" spans="1:8">
      <c r="A222" s="261" t="s">
        <v>979</v>
      </c>
      <c r="B222" s="261" t="s">
        <v>980</v>
      </c>
      <c r="C222" s="261" t="s">
        <v>995</v>
      </c>
      <c r="D222" s="261" t="s">
        <v>996</v>
      </c>
      <c r="E222" s="277" t="s">
        <v>5173</v>
      </c>
      <c r="F222" s="261" t="s">
        <v>5174</v>
      </c>
      <c r="G222" s="264" t="s">
        <v>5179</v>
      </c>
      <c r="H222" s="264" t="s">
        <v>5191</v>
      </c>
    </row>
    <row r="223" spans="1:8">
      <c r="A223" s="261" t="s">
        <v>979</v>
      </c>
      <c r="B223" s="261" t="s">
        <v>980</v>
      </c>
      <c r="C223" s="261" t="s">
        <v>997</v>
      </c>
      <c r="D223" s="261" t="s">
        <v>998</v>
      </c>
      <c r="E223" s="277" t="s">
        <v>5173</v>
      </c>
      <c r="F223" s="261" t="s">
        <v>5174</v>
      </c>
      <c r="G223" s="264" t="s">
        <v>5179</v>
      </c>
      <c r="H223" s="264" t="s">
        <v>5191</v>
      </c>
    </row>
    <row r="224" spans="1:8">
      <c r="A224" s="261" t="s">
        <v>979</v>
      </c>
      <c r="B224" s="261" t="s">
        <v>980</v>
      </c>
      <c r="C224" s="261" t="s">
        <v>999</v>
      </c>
      <c r="D224" s="261" t="s">
        <v>1000</v>
      </c>
      <c r="E224" s="277" t="s">
        <v>5155</v>
      </c>
      <c r="F224" s="261" t="s">
        <v>5156</v>
      </c>
      <c r="G224" s="264" t="s">
        <v>5177</v>
      </c>
      <c r="H224" s="264" t="s">
        <v>5187</v>
      </c>
    </row>
    <row r="225" spans="1:8">
      <c r="A225" s="261" t="s">
        <v>979</v>
      </c>
      <c r="B225" s="261" t="s">
        <v>980</v>
      </c>
      <c r="C225" s="261" t="s">
        <v>1001</v>
      </c>
      <c r="D225" s="261" t="s">
        <v>1002</v>
      </c>
      <c r="E225" s="277" t="s">
        <v>5155</v>
      </c>
      <c r="F225" s="261" t="s">
        <v>5156</v>
      </c>
      <c r="G225" s="264" t="s">
        <v>5177</v>
      </c>
      <c r="H225" s="264" t="s">
        <v>5187</v>
      </c>
    </row>
    <row r="226" spans="1:8">
      <c r="A226" s="261" t="s">
        <v>979</v>
      </c>
      <c r="B226" s="261" t="s">
        <v>980</v>
      </c>
      <c r="C226" s="261" t="s">
        <v>3502</v>
      </c>
      <c r="D226" s="261" t="s">
        <v>3503</v>
      </c>
      <c r="E226" s="277" t="s">
        <v>5173</v>
      </c>
      <c r="F226" s="261" t="s">
        <v>5174</v>
      </c>
      <c r="G226" s="264" t="s">
        <v>5179</v>
      </c>
      <c r="H226" s="264" t="s">
        <v>5191</v>
      </c>
    </row>
    <row r="227" spans="1:8">
      <c r="A227" s="261" t="s">
        <v>1003</v>
      </c>
      <c r="B227" s="261" t="s">
        <v>1004</v>
      </c>
      <c r="C227" s="261" t="s">
        <v>1005</v>
      </c>
      <c r="D227" s="261" t="s">
        <v>1006</v>
      </c>
      <c r="E227" s="277" t="s">
        <v>5153</v>
      </c>
      <c r="F227" s="261" t="s">
        <v>5154</v>
      </c>
      <c r="G227" s="264" t="s">
        <v>5179</v>
      </c>
      <c r="H227" s="264" t="s">
        <v>5180</v>
      </c>
    </row>
    <row r="228" spans="1:8">
      <c r="A228" s="261" t="s">
        <v>1003</v>
      </c>
      <c r="B228" s="261" t="s">
        <v>1004</v>
      </c>
      <c r="C228" s="261" t="s">
        <v>1007</v>
      </c>
      <c r="D228" s="261" t="s">
        <v>1247</v>
      </c>
      <c r="E228" s="277" t="s">
        <v>5153</v>
      </c>
      <c r="F228" s="261" t="s">
        <v>5154</v>
      </c>
      <c r="G228" s="264" t="s">
        <v>5179</v>
      </c>
      <c r="H228" s="264" t="s">
        <v>5180</v>
      </c>
    </row>
    <row r="229" spans="1:8">
      <c r="A229" s="261" t="s">
        <v>1008</v>
      </c>
      <c r="B229" s="261" t="s">
        <v>1009</v>
      </c>
      <c r="C229" s="261" t="s">
        <v>1010</v>
      </c>
      <c r="D229" s="261" t="s">
        <v>1011</v>
      </c>
      <c r="E229" s="277" t="s">
        <v>5173</v>
      </c>
      <c r="F229" s="261" t="s">
        <v>5174</v>
      </c>
      <c r="G229" s="264" t="s">
        <v>5179</v>
      </c>
      <c r="H229" s="264" t="s">
        <v>5191</v>
      </c>
    </row>
    <row r="230" spans="1:8">
      <c r="A230" s="261" t="s">
        <v>1008</v>
      </c>
      <c r="B230" s="261" t="s">
        <v>1009</v>
      </c>
      <c r="C230" s="261" t="s">
        <v>1012</v>
      </c>
      <c r="D230" s="261" t="s">
        <v>1246</v>
      </c>
      <c r="E230" s="277" t="s">
        <v>5173</v>
      </c>
      <c r="F230" s="261" t="s">
        <v>5174</v>
      </c>
      <c r="G230" s="264" t="s">
        <v>5179</v>
      </c>
      <c r="H230" s="264" t="s">
        <v>5191</v>
      </c>
    </row>
    <row r="231" spans="1:8">
      <c r="A231" s="261" t="s">
        <v>1008</v>
      </c>
      <c r="B231" s="261" t="s">
        <v>1009</v>
      </c>
      <c r="C231" s="261" t="s">
        <v>1013</v>
      </c>
      <c r="D231" s="261" t="s">
        <v>1014</v>
      </c>
      <c r="E231" s="277" t="s">
        <v>5173</v>
      </c>
      <c r="F231" s="261" t="s">
        <v>5174</v>
      </c>
      <c r="G231" s="264" t="s">
        <v>5179</v>
      </c>
      <c r="H231" s="264" t="s">
        <v>5191</v>
      </c>
    </row>
    <row r="232" spans="1:8">
      <c r="A232" s="261" t="s">
        <v>1008</v>
      </c>
      <c r="B232" s="261" t="s">
        <v>1009</v>
      </c>
      <c r="C232" s="261" t="s">
        <v>1015</v>
      </c>
      <c r="D232" s="261" t="s">
        <v>1248</v>
      </c>
      <c r="E232" s="277" t="s">
        <v>5173</v>
      </c>
      <c r="F232" s="261" t="s">
        <v>5174</v>
      </c>
      <c r="G232" s="264" t="s">
        <v>5179</v>
      </c>
      <c r="H232" s="264" t="s">
        <v>5191</v>
      </c>
    </row>
    <row r="233" spans="1:8">
      <c r="A233" s="261" t="s">
        <v>1008</v>
      </c>
      <c r="B233" s="261" t="s">
        <v>1009</v>
      </c>
      <c r="C233" s="261" t="s">
        <v>1016</v>
      </c>
      <c r="D233" s="261" t="s">
        <v>1017</v>
      </c>
      <c r="E233" s="277" t="s">
        <v>5173</v>
      </c>
      <c r="F233" s="261" t="s">
        <v>5174</v>
      </c>
      <c r="G233" s="264" t="s">
        <v>5179</v>
      </c>
      <c r="H233" s="264" t="s">
        <v>5191</v>
      </c>
    </row>
    <row r="234" spans="1:8">
      <c r="A234" s="261" t="s">
        <v>1008</v>
      </c>
      <c r="B234" s="261" t="s">
        <v>1009</v>
      </c>
      <c r="C234" s="261" t="s">
        <v>3504</v>
      </c>
      <c r="D234" s="261" t="s">
        <v>3505</v>
      </c>
      <c r="E234" s="277" t="s">
        <v>5173</v>
      </c>
      <c r="F234" s="261" t="s">
        <v>5174</v>
      </c>
      <c r="G234" s="264" t="s">
        <v>5179</v>
      </c>
      <c r="H234" s="264" t="s">
        <v>5191</v>
      </c>
    </row>
    <row r="235" spans="1:8">
      <c r="A235" s="261" t="s">
        <v>1018</v>
      </c>
      <c r="B235" s="261" t="s">
        <v>1019</v>
      </c>
      <c r="C235" s="261" t="s">
        <v>1020</v>
      </c>
      <c r="D235" s="261" t="s">
        <v>1021</v>
      </c>
      <c r="E235" s="277" t="s">
        <v>5155</v>
      </c>
      <c r="F235" s="261" t="s">
        <v>5156</v>
      </c>
      <c r="G235" s="264" t="s">
        <v>5177</v>
      </c>
      <c r="H235" s="264" t="s">
        <v>5187</v>
      </c>
    </row>
    <row r="236" spans="1:8">
      <c r="A236" s="261" t="s">
        <v>1018</v>
      </c>
      <c r="B236" s="261" t="s">
        <v>1019</v>
      </c>
      <c r="C236" s="261" t="s">
        <v>1022</v>
      </c>
      <c r="D236" s="261" t="s">
        <v>1023</v>
      </c>
      <c r="E236" s="277" t="s">
        <v>5155</v>
      </c>
      <c r="F236" s="261" t="s">
        <v>5156</v>
      </c>
      <c r="G236" s="264" t="s">
        <v>5177</v>
      </c>
      <c r="H236" s="264" t="s">
        <v>5187</v>
      </c>
    </row>
    <row r="237" spans="1:8">
      <c r="A237" s="261" t="s">
        <v>1018</v>
      </c>
      <c r="B237" s="261" t="s">
        <v>1019</v>
      </c>
      <c r="C237" s="261" t="s">
        <v>1024</v>
      </c>
      <c r="D237" s="261" t="s">
        <v>1025</v>
      </c>
      <c r="E237" s="277" t="s">
        <v>5155</v>
      </c>
      <c r="F237" s="261" t="s">
        <v>5156</v>
      </c>
      <c r="G237" s="264" t="s">
        <v>5177</v>
      </c>
      <c r="H237" s="264" t="s">
        <v>5187</v>
      </c>
    </row>
    <row r="238" spans="1:8">
      <c r="A238" s="261" t="s">
        <v>1018</v>
      </c>
      <c r="B238" s="261" t="s">
        <v>1019</v>
      </c>
      <c r="C238" s="261" t="s">
        <v>1026</v>
      </c>
      <c r="D238" s="261" t="s">
        <v>1027</v>
      </c>
      <c r="E238" s="277" t="s">
        <v>5155</v>
      </c>
      <c r="F238" s="261" t="s">
        <v>5156</v>
      </c>
      <c r="G238" s="264" t="s">
        <v>5177</v>
      </c>
      <c r="H238" s="264" t="s">
        <v>5187</v>
      </c>
    </row>
    <row r="239" spans="1:8">
      <c r="A239" s="261" t="s">
        <v>1018</v>
      </c>
      <c r="B239" s="261" t="s">
        <v>1019</v>
      </c>
      <c r="C239" s="261" t="s">
        <v>1661</v>
      </c>
      <c r="D239" s="261" t="s">
        <v>1662</v>
      </c>
      <c r="E239" s="277" t="s">
        <v>5155</v>
      </c>
      <c r="F239" s="261" t="s">
        <v>5156</v>
      </c>
      <c r="G239" s="264" t="s">
        <v>5177</v>
      </c>
      <c r="H239" s="264" t="s">
        <v>5187</v>
      </c>
    </row>
    <row r="240" spans="1:8">
      <c r="A240" s="261" t="s">
        <v>1018</v>
      </c>
      <c r="B240" s="261" t="s">
        <v>1019</v>
      </c>
      <c r="C240" s="261" t="s">
        <v>1028</v>
      </c>
      <c r="D240" s="261" t="s">
        <v>1029</v>
      </c>
      <c r="E240" s="277" t="s">
        <v>5155</v>
      </c>
      <c r="F240" s="261" t="s">
        <v>5156</v>
      </c>
      <c r="G240" s="264" t="s">
        <v>5177</v>
      </c>
      <c r="H240" s="264" t="s">
        <v>5187</v>
      </c>
    </row>
    <row r="241" spans="1:8">
      <c r="A241" s="261" t="s">
        <v>1018</v>
      </c>
      <c r="B241" s="261" t="s">
        <v>1019</v>
      </c>
      <c r="C241" s="261" t="s">
        <v>2009</v>
      </c>
      <c r="D241" s="261" t="s">
        <v>3506</v>
      </c>
      <c r="E241" s="277" t="s">
        <v>5155</v>
      </c>
      <c r="F241" s="261" t="s">
        <v>5156</v>
      </c>
      <c r="G241" s="264" t="s">
        <v>5177</v>
      </c>
      <c r="H241" s="264" t="s">
        <v>5187</v>
      </c>
    </row>
    <row r="242" spans="1:8">
      <c r="A242" s="261" t="s">
        <v>1018</v>
      </c>
      <c r="B242" s="261" t="s">
        <v>1019</v>
      </c>
      <c r="C242" s="261" t="s">
        <v>1663</v>
      </c>
      <c r="D242" s="261" t="s">
        <v>685</v>
      </c>
      <c r="E242" s="277" t="s">
        <v>5155</v>
      </c>
      <c r="F242" s="261" t="s">
        <v>5156</v>
      </c>
      <c r="G242" s="264" t="s">
        <v>5177</v>
      </c>
      <c r="H242" s="264" t="s">
        <v>5187</v>
      </c>
    </row>
    <row r="243" spans="1:8">
      <c r="A243" s="261" t="s">
        <v>1030</v>
      </c>
      <c r="B243" s="261" t="s">
        <v>1031</v>
      </c>
      <c r="C243" s="261" t="s">
        <v>1032</v>
      </c>
      <c r="D243" s="261" t="s">
        <v>1033</v>
      </c>
      <c r="E243" s="277" t="s">
        <v>5159</v>
      </c>
      <c r="F243" s="261" t="s">
        <v>5160</v>
      </c>
      <c r="G243" s="264" t="s">
        <v>5177</v>
      </c>
      <c r="H243" s="264" t="s">
        <v>5185</v>
      </c>
    </row>
    <row r="244" spans="1:8">
      <c r="A244" s="261" t="s">
        <v>1030</v>
      </c>
      <c r="B244" s="261" t="s">
        <v>1031</v>
      </c>
      <c r="C244" s="261" t="s">
        <v>1034</v>
      </c>
      <c r="D244" s="261" t="s">
        <v>1035</v>
      </c>
      <c r="E244" s="277" t="s">
        <v>5153</v>
      </c>
      <c r="F244" s="261" t="s">
        <v>5154</v>
      </c>
      <c r="G244" s="264" t="s">
        <v>5179</v>
      </c>
      <c r="H244" s="264" t="s">
        <v>5180</v>
      </c>
    </row>
    <row r="245" spans="1:8">
      <c r="A245" s="261" t="s">
        <v>1030</v>
      </c>
      <c r="B245" s="261" t="s">
        <v>1031</v>
      </c>
      <c r="C245" s="261" t="s">
        <v>1034</v>
      </c>
      <c r="D245" s="261" t="s">
        <v>1035</v>
      </c>
      <c r="E245" s="277" t="s">
        <v>5159</v>
      </c>
      <c r="F245" s="261" t="s">
        <v>5160</v>
      </c>
      <c r="G245" s="264" t="s">
        <v>5177</v>
      </c>
      <c r="H245" s="264" t="s">
        <v>5185</v>
      </c>
    </row>
    <row r="246" spans="1:8">
      <c r="A246" s="261" t="s">
        <v>1030</v>
      </c>
      <c r="B246" s="261" t="s">
        <v>1031</v>
      </c>
      <c r="C246" s="261" t="s">
        <v>1036</v>
      </c>
      <c r="D246" s="261" t="s">
        <v>1037</v>
      </c>
      <c r="E246" s="277" t="s">
        <v>5159</v>
      </c>
      <c r="F246" s="261" t="s">
        <v>5160</v>
      </c>
      <c r="G246" s="264" t="s">
        <v>5177</v>
      </c>
      <c r="H246" s="264" t="s">
        <v>5185</v>
      </c>
    </row>
    <row r="247" spans="1:8">
      <c r="A247" s="261" t="s">
        <v>1030</v>
      </c>
      <c r="B247" s="261" t="s">
        <v>1031</v>
      </c>
      <c r="C247" s="261" t="s">
        <v>1038</v>
      </c>
      <c r="D247" s="261" t="s">
        <v>1039</v>
      </c>
      <c r="E247" s="277" t="s">
        <v>5159</v>
      </c>
      <c r="F247" s="261" t="s">
        <v>5160</v>
      </c>
      <c r="G247" s="264" t="s">
        <v>5177</v>
      </c>
      <c r="H247" s="264" t="s">
        <v>5185</v>
      </c>
    </row>
    <row r="248" spans="1:8">
      <c r="A248" s="261" t="s">
        <v>1030</v>
      </c>
      <c r="B248" s="261" t="s">
        <v>1031</v>
      </c>
      <c r="C248" s="261" t="s">
        <v>1040</v>
      </c>
      <c r="D248" s="261" t="s">
        <v>1041</v>
      </c>
      <c r="E248" s="277" t="s">
        <v>5159</v>
      </c>
      <c r="F248" s="261" t="s">
        <v>5160</v>
      </c>
      <c r="G248" s="264" t="s">
        <v>5177</v>
      </c>
      <c r="H248" s="264" t="s">
        <v>5185</v>
      </c>
    </row>
    <row r="249" spans="1:8">
      <c r="A249" s="261" t="s">
        <v>1030</v>
      </c>
      <c r="B249" s="261" t="s">
        <v>1031</v>
      </c>
      <c r="C249" s="261" t="s">
        <v>1042</v>
      </c>
      <c r="D249" s="261" t="s">
        <v>1043</v>
      </c>
      <c r="E249" s="277" t="s">
        <v>5159</v>
      </c>
      <c r="F249" s="261" t="s">
        <v>5160</v>
      </c>
      <c r="G249" s="264" t="s">
        <v>5177</v>
      </c>
      <c r="H249" s="264" t="s">
        <v>5185</v>
      </c>
    </row>
    <row r="250" spans="1:8">
      <c r="A250" s="261" t="s">
        <v>1030</v>
      </c>
      <c r="B250" s="261" t="s">
        <v>1031</v>
      </c>
      <c r="C250" s="261" t="s">
        <v>1044</v>
      </c>
      <c r="D250" s="261" t="s">
        <v>1045</v>
      </c>
      <c r="E250" s="277" t="s">
        <v>5159</v>
      </c>
      <c r="F250" s="261" t="s">
        <v>5160</v>
      </c>
      <c r="G250" s="264" t="s">
        <v>5177</v>
      </c>
      <c r="H250" s="264" t="s">
        <v>5185</v>
      </c>
    </row>
    <row r="251" spans="1:8">
      <c r="A251" s="261" t="s">
        <v>1030</v>
      </c>
      <c r="B251" s="261" t="s">
        <v>1031</v>
      </c>
      <c r="C251" s="261" t="s">
        <v>1046</v>
      </c>
      <c r="D251" s="261" t="s">
        <v>1047</v>
      </c>
      <c r="E251" s="277" t="s">
        <v>5159</v>
      </c>
      <c r="F251" s="261" t="s">
        <v>5160</v>
      </c>
      <c r="G251" s="264" t="s">
        <v>5177</v>
      </c>
      <c r="H251" s="264" t="s">
        <v>5185</v>
      </c>
    </row>
    <row r="252" spans="1:8">
      <c r="A252" s="261" t="s">
        <v>1030</v>
      </c>
      <c r="B252" s="261" t="s">
        <v>1031</v>
      </c>
      <c r="C252" s="261" t="s">
        <v>1048</v>
      </c>
      <c r="D252" s="261" t="s">
        <v>1049</v>
      </c>
      <c r="E252" s="277" t="s">
        <v>5159</v>
      </c>
      <c r="F252" s="261" t="s">
        <v>5160</v>
      </c>
      <c r="G252" s="264" t="s">
        <v>5177</v>
      </c>
      <c r="H252" s="264" t="s">
        <v>5185</v>
      </c>
    </row>
    <row r="253" spans="1:8">
      <c r="A253" s="261" t="s">
        <v>1030</v>
      </c>
      <c r="B253" s="261" t="s">
        <v>1031</v>
      </c>
      <c r="C253" s="261" t="s">
        <v>1050</v>
      </c>
      <c r="D253" s="261" t="s">
        <v>1051</v>
      </c>
      <c r="E253" s="277" t="s">
        <v>5159</v>
      </c>
      <c r="F253" s="261" t="s">
        <v>5160</v>
      </c>
      <c r="G253" s="264" t="s">
        <v>5177</v>
      </c>
      <c r="H253" s="264" t="s">
        <v>5185</v>
      </c>
    </row>
    <row r="254" spans="1:8">
      <c r="A254" s="261" t="s">
        <v>1030</v>
      </c>
      <c r="B254" s="261" t="s">
        <v>1031</v>
      </c>
      <c r="C254" s="261" t="s">
        <v>1052</v>
      </c>
      <c r="D254" s="261" t="s">
        <v>1053</v>
      </c>
      <c r="E254" s="277" t="s">
        <v>5159</v>
      </c>
      <c r="F254" s="261" t="s">
        <v>5160</v>
      </c>
      <c r="G254" s="264" t="s">
        <v>5177</v>
      </c>
      <c r="H254" s="264" t="s">
        <v>5185</v>
      </c>
    </row>
    <row r="255" spans="1:8">
      <c r="A255" s="261" t="s">
        <v>1030</v>
      </c>
      <c r="B255" s="261" t="s">
        <v>1031</v>
      </c>
      <c r="C255" s="261" t="s">
        <v>1054</v>
      </c>
      <c r="D255" s="261" t="s">
        <v>1055</v>
      </c>
      <c r="E255" s="277" t="s">
        <v>5159</v>
      </c>
      <c r="F255" s="261" t="s">
        <v>5160</v>
      </c>
      <c r="G255" s="264" t="s">
        <v>5177</v>
      </c>
      <c r="H255" s="264" t="s">
        <v>5185</v>
      </c>
    </row>
    <row r="256" spans="1:8">
      <c r="A256" s="261" t="s">
        <v>1030</v>
      </c>
      <c r="B256" s="261" t="s">
        <v>1031</v>
      </c>
      <c r="C256" s="261" t="s">
        <v>1056</v>
      </c>
      <c r="D256" s="261" t="s">
        <v>1057</v>
      </c>
      <c r="E256" s="277" t="s">
        <v>5159</v>
      </c>
      <c r="F256" s="261" t="s">
        <v>5160</v>
      </c>
      <c r="G256" s="264" t="s">
        <v>5177</v>
      </c>
      <c r="H256" s="264" t="s">
        <v>5185</v>
      </c>
    </row>
    <row r="257" spans="1:8">
      <c r="A257" s="261" t="s">
        <v>1030</v>
      </c>
      <c r="B257" s="261" t="s">
        <v>1031</v>
      </c>
      <c r="C257" s="261" t="s">
        <v>1664</v>
      </c>
      <c r="D257" s="261" t="s">
        <v>1665</v>
      </c>
      <c r="E257" s="277" t="s">
        <v>5159</v>
      </c>
      <c r="F257" s="261" t="s">
        <v>5160</v>
      </c>
      <c r="G257" s="264" t="s">
        <v>5177</v>
      </c>
      <c r="H257" s="264" t="s">
        <v>5185</v>
      </c>
    </row>
    <row r="258" spans="1:8">
      <c r="A258" s="261" t="s">
        <v>1030</v>
      </c>
      <c r="B258" s="261" t="s">
        <v>1031</v>
      </c>
      <c r="C258" s="261" t="s">
        <v>1974</v>
      </c>
      <c r="D258" s="261" t="s">
        <v>1975</v>
      </c>
      <c r="E258" s="277" t="s">
        <v>5159</v>
      </c>
      <c r="F258" s="261" t="s">
        <v>5160</v>
      </c>
      <c r="G258" s="264" t="s">
        <v>5177</v>
      </c>
      <c r="H258" s="264" t="s">
        <v>5185</v>
      </c>
    </row>
    <row r="259" spans="1:8">
      <c r="A259" s="261" t="s">
        <v>1030</v>
      </c>
      <c r="B259" s="261" t="s">
        <v>1031</v>
      </c>
      <c r="C259" s="261" t="s">
        <v>3507</v>
      </c>
      <c r="D259" s="261" t="s">
        <v>3508</v>
      </c>
      <c r="E259" s="277" t="s">
        <v>5159</v>
      </c>
      <c r="F259" s="261" t="s">
        <v>5160</v>
      </c>
      <c r="G259" s="264" t="s">
        <v>5177</v>
      </c>
      <c r="H259" s="264" t="s">
        <v>5185</v>
      </c>
    </row>
    <row r="260" spans="1:8">
      <c r="A260" s="261" t="s">
        <v>1030</v>
      </c>
      <c r="B260" s="261" t="s">
        <v>1031</v>
      </c>
      <c r="C260" s="261" t="s">
        <v>3509</v>
      </c>
      <c r="D260" s="261" t="s">
        <v>3510</v>
      </c>
      <c r="E260" s="277" t="s">
        <v>5159</v>
      </c>
      <c r="F260" s="261" t="s">
        <v>5160</v>
      </c>
      <c r="G260" s="264" t="s">
        <v>5177</v>
      </c>
      <c r="H260" s="264" t="s">
        <v>5185</v>
      </c>
    </row>
    <row r="261" spans="1:8">
      <c r="A261" s="261" t="s">
        <v>1030</v>
      </c>
      <c r="B261" s="261" t="s">
        <v>1031</v>
      </c>
      <c r="C261" s="261" t="s">
        <v>1976</v>
      </c>
      <c r="D261" s="261" t="s">
        <v>1977</v>
      </c>
      <c r="E261" s="277" t="s">
        <v>5159</v>
      </c>
      <c r="F261" s="261" t="s">
        <v>5160</v>
      </c>
      <c r="G261" s="264" t="s">
        <v>5177</v>
      </c>
      <c r="H261" s="264" t="s">
        <v>5185</v>
      </c>
    </row>
    <row r="262" spans="1:8">
      <c r="A262" s="261" t="s">
        <v>1030</v>
      </c>
      <c r="B262" s="261" t="s">
        <v>1031</v>
      </c>
      <c r="C262" s="261" t="s">
        <v>1058</v>
      </c>
      <c r="D262" s="261" t="s">
        <v>1059</v>
      </c>
      <c r="E262" s="277" t="s">
        <v>5159</v>
      </c>
      <c r="F262" s="261" t="s">
        <v>5160</v>
      </c>
      <c r="G262" s="264" t="s">
        <v>5177</v>
      </c>
      <c r="H262" s="264" t="s">
        <v>5185</v>
      </c>
    </row>
    <row r="263" spans="1:8">
      <c r="A263" s="261" t="s">
        <v>1030</v>
      </c>
      <c r="B263" s="261" t="s">
        <v>1031</v>
      </c>
      <c r="C263" s="261" t="s">
        <v>1060</v>
      </c>
      <c r="D263" s="261" t="s">
        <v>1061</v>
      </c>
      <c r="E263" s="277" t="s">
        <v>5159</v>
      </c>
      <c r="F263" s="261" t="s">
        <v>5160</v>
      </c>
      <c r="G263" s="264" t="s">
        <v>5177</v>
      </c>
      <c r="H263" s="264" t="s">
        <v>5185</v>
      </c>
    </row>
    <row r="264" spans="1:8">
      <c r="A264" s="261" t="s">
        <v>1030</v>
      </c>
      <c r="B264" s="261" t="s">
        <v>1031</v>
      </c>
      <c r="C264" s="261" t="s">
        <v>1062</v>
      </c>
      <c r="D264" s="261" t="s">
        <v>685</v>
      </c>
      <c r="E264" s="277" t="s">
        <v>5159</v>
      </c>
      <c r="F264" s="261" t="s">
        <v>5160</v>
      </c>
      <c r="G264" s="264" t="s">
        <v>5177</v>
      </c>
      <c r="H264" s="264" t="s">
        <v>5185</v>
      </c>
    </row>
    <row r="265" spans="1:8">
      <c r="A265" s="261" t="s">
        <v>1063</v>
      </c>
      <c r="B265" s="261" t="s">
        <v>1064</v>
      </c>
      <c r="C265" s="261" t="s">
        <v>1065</v>
      </c>
      <c r="D265" s="261" t="s">
        <v>1066</v>
      </c>
      <c r="E265" s="277" t="s">
        <v>5155</v>
      </c>
      <c r="F265" s="261" t="s">
        <v>5156</v>
      </c>
      <c r="G265" s="264" t="s">
        <v>5177</v>
      </c>
      <c r="H265" s="264" t="s">
        <v>5187</v>
      </c>
    </row>
    <row r="266" spans="1:8">
      <c r="A266" s="261" t="s">
        <v>1063</v>
      </c>
      <c r="B266" s="261" t="s">
        <v>1064</v>
      </c>
      <c r="C266" s="261" t="s">
        <v>1067</v>
      </c>
      <c r="D266" s="261" t="s">
        <v>1666</v>
      </c>
      <c r="E266" s="277" t="s">
        <v>5155</v>
      </c>
      <c r="F266" s="261" t="s">
        <v>5156</v>
      </c>
      <c r="G266" s="264" t="s">
        <v>5177</v>
      </c>
      <c r="H266" s="264" t="s">
        <v>5187</v>
      </c>
    </row>
    <row r="267" spans="1:8">
      <c r="A267" s="261" t="s">
        <v>1063</v>
      </c>
      <c r="B267" s="261" t="s">
        <v>1064</v>
      </c>
      <c r="C267" s="261" t="s">
        <v>1068</v>
      </c>
      <c r="D267" s="261" t="s">
        <v>1069</v>
      </c>
      <c r="E267" s="277" t="s">
        <v>5155</v>
      </c>
      <c r="F267" s="261" t="s">
        <v>5156</v>
      </c>
      <c r="G267" s="264" t="s">
        <v>5177</v>
      </c>
      <c r="H267" s="264" t="s">
        <v>5187</v>
      </c>
    </row>
    <row r="268" spans="1:8">
      <c r="A268" s="261" t="s">
        <v>1063</v>
      </c>
      <c r="B268" s="261" t="s">
        <v>1064</v>
      </c>
      <c r="C268" s="261" t="s">
        <v>3511</v>
      </c>
      <c r="D268" s="261" t="s">
        <v>3512</v>
      </c>
      <c r="E268" s="277" t="s">
        <v>5155</v>
      </c>
      <c r="F268" s="261" t="s">
        <v>5156</v>
      </c>
      <c r="G268" s="264" t="s">
        <v>5177</v>
      </c>
      <c r="H268" s="264" t="s">
        <v>5187</v>
      </c>
    </row>
    <row r="269" spans="1:8">
      <c r="A269" s="261" t="s">
        <v>1063</v>
      </c>
      <c r="B269" s="261" t="s">
        <v>1064</v>
      </c>
      <c r="C269" s="261" t="s">
        <v>1070</v>
      </c>
      <c r="D269" s="261" t="s">
        <v>1071</v>
      </c>
      <c r="E269" s="277" t="s">
        <v>5155</v>
      </c>
      <c r="F269" s="261" t="s">
        <v>5156</v>
      </c>
      <c r="G269" s="264" t="s">
        <v>5177</v>
      </c>
      <c r="H269" s="264" t="s">
        <v>5187</v>
      </c>
    </row>
    <row r="270" spans="1:8">
      <c r="A270" s="261" t="s">
        <v>1063</v>
      </c>
      <c r="B270" s="261" t="s">
        <v>1064</v>
      </c>
      <c r="C270" s="261" t="s">
        <v>2014</v>
      </c>
      <c r="D270" s="261" t="s">
        <v>2015</v>
      </c>
      <c r="E270" s="277" t="s">
        <v>5155</v>
      </c>
      <c r="F270" s="261" t="s">
        <v>5156</v>
      </c>
      <c r="G270" s="264" t="s">
        <v>5177</v>
      </c>
      <c r="H270" s="264" t="s">
        <v>5187</v>
      </c>
    </row>
    <row r="271" spans="1:8">
      <c r="A271" s="261" t="s">
        <v>1063</v>
      </c>
      <c r="B271" s="261" t="s">
        <v>1064</v>
      </c>
      <c r="C271" s="261" t="s">
        <v>2016</v>
      </c>
      <c r="D271" s="261" t="s">
        <v>3513</v>
      </c>
      <c r="E271" s="277" t="s">
        <v>5155</v>
      </c>
      <c r="F271" s="261" t="s">
        <v>5156</v>
      </c>
      <c r="G271" s="264" t="s">
        <v>5177</v>
      </c>
      <c r="H271" s="264" t="s">
        <v>5187</v>
      </c>
    </row>
    <row r="272" spans="1:8">
      <c r="A272" s="261" t="s">
        <v>1072</v>
      </c>
      <c r="B272" s="261" t="s">
        <v>1073</v>
      </c>
      <c r="C272" s="261" t="s">
        <v>1074</v>
      </c>
      <c r="D272" s="261" t="s">
        <v>1075</v>
      </c>
      <c r="E272" s="277" t="s">
        <v>5155</v>
      </c>
      <c r="F272" s="261" t="s">
        <v>5156</v>
      </c>
      <c r="G272" s="264" t="s">
        <v>5177</v>
      </c>
      <c r="H272" s="264" t="s">
        <v>5187</v>
      </c>
    </row>
    <row r="273" spans="1:8">
      <c r="A273" s="261" t="s">
        <v>1072</v>
      </c>
      <c r="B273" s="261" t="s">
        <v>1073</v>
      </c>
      <c r="C273" s="261" t="s">
        <v>1076</v>
      </c>
      <c r="D273" s="261" t="s">
        <v>1077</v>
      </c>
      <c r="E273" s="277" t="s">
        <v>5155</v>
      </c>
      <c r="F273" s="261" t="s">
        <v>5156</v>
      </c>
      <c r="G273" s="264" t="s">
        <v>5177</v>
      </c>
      <c r="H273" s="264" t="s">
        <v>5187</v>
      </c>
    </row>
    <row r="274" spans="1:8">
      <c r="A274" s="261" t="s">
        <v>1072</v>
      </c>
      <c r="B274" s="261" t="s">
        <v>1073</v>
      </c>
      <c r="C274" s="261" t="s">
        <v>1078</v>
      </c>
      <c r="D274" s="261" t="s">
        <v>1079</v>
      </c>
      <c r="E274" s="277" t="s">
        <v>5155</v>
      </c>
      <c r="F274" s="261" t="s">
        <v>5156</v>
      </c>
      <c r="G274" s="264" t="s">
        <v>5177</v>
      </c>
      <c r="H274" s="264" t="s">
        <v>5187</v>
      </c>
    </row>
    <row r="275" spans="1:8">
      <c r="A275" s="261" t="s">
        <v>1072</v>
      </c>
      <c r="B275" s="261" t="s">
        <v>1073</v>
      </c>
      <c r="C275" s="261" t="s">
        <v>1080</v>
      </c>
      <c r="D275" s="261" t="s">
        <v>1081</v>
      </c>
      <c r="E275" s="277" t="s">
        <v>5155</v>
      </c>
      <c r="F275" s="261" t="s">
        <v>5156</v>
      </c>
      <c r="G275" s="264" t="s">
        <v>5177</v>
      </c>
      <c r="H275" s="264" t="s">
        <v>5187</v>
      </c>
    </row>
    <row r="276" spans="1:8">
      <c r="A276" s="261" t="s">
        <v>1072</v>
      </c>
      <c r="B276" s="261" t="s">
        <v>1073</v>
      </c>
      <c r="C276" s="261" t="s">
        <v>1082</v>
      </c>
      <c r="D276" s="261" t="s">
        <v>1083</v>
      </c>
      <c r="E276" s="277" t="s">
        <v>5155</v>
      </c>
      <c r="F276" s="261" t="s">
        <v>5156</v>
      </c>
      <c r="G276" s="264" t="s">
        <v>5177</v>
      </c>
      <c r="H276" s="264" t="s">
        <v>5187</v>
      </c>
    </row>
    <row r="277" spans="1:8">
      <c r="A277" s="261" t="s">
        <v>1072</v>
      </c>
      <c r="B277" s="261" t="s">
        <v>1073</v>
      </c>
      <c r="C277" s="261" t="s">
        <v>1084</v>
      </c>
      <c r="D277" s="261" t="s">
        <v>1085</v>
      </c>
      <c r="E277" s="277" t="s">
        <v>5155</v>
      </c>
      <c r="F277" s="261" t="s">
        <v>5156</v>
      </c>
      <c r="G277" s="264" t="s">
        <v>5177</v>
      </c>
      <c r="H277" s="264" t="s">
        <v>5187</v>
      </c>
    </row>
    <row r="278" spans="1:8">
      <c r="A278" s="261" t="s">
        <v>1072</v>
      </c>
      <c r="B278" s="261" t="s">
        <v>1073</v>
      </c>
      <c r="C278" s="261" t="s">
        <v>1086</v>
      </c>
      <c r="D278" s="261" t="s">
        <v>1087</v>
      </c>
      <c r="E278" s="277" t="s">
        <v>5155</v>
      </c>
      <c r="F278" s="261" t="s">
        <v>5156</v>
      </c>
      <c r="G278" s="264" t="s">
        <v>5177</v>
      </c>
      <c r="H278" s="264" t="s">
        <v>5187</v>
      </c>
    </row>
    <row r="279" spans="1:8">
      <c r="A279" s="261" t="s">
        <v>1072</v>
      </c>
      <c r="B279" s="261" t="s">
        <v>1073</v>
      </c>
      <c r="C279" s="261" t="s">
        <v>1088</v>
      </c>
      <c r="D279" s="261" t="s">
        <v>1089</v>
      </c>
      <c r="E279" s="277" t="s">
        <v>5155</v>
      </c>
      <c r="F279" s="261" t="s">
        <v>5156</v>
      </c>
      <c r="G279" s="264" t="s">
        <v>5177</v>
      </c>
      <c r="H279" s="264" t="s">
        <v>5187</v>
      </c>
    </row>
    <row r="280" spans="1:8">
      <c r="A280" s="261" t="s">
        <v>1072</v>
      </c>
      <c r="B280" s="261" t="s">
        <v>1073</v>
      </c>
      <c r="C280" s="261" t="s">
        <v>1090</v>
      </c>
      <c r="D280" s="261" t="s">
        <v>1091</v>
      </c>
      <c r="E280" s="277" t="s">
        <v>5155</v>
      </c>
      <c r="F280" s="261" t="s">
        <v>5156</v>
      </c>
      <c r="G280" s="264" t="s">
        <v>5177</v>
      </c>
      <c r="H280" s="264" t="s">
        <v>5187</v>
      </c>
    </row>
    <row r="281" spans="1:8">
      <c r="A281" s="261" t="s">
        <v>1072</v>
      </c>
      <c r="B281" s="261" t="s">
        <v>1073</v>
      </c>
      <c r="C281" s="261" t="s">
        <v>1092</v>
      </c>
      <c r="D281" s="261" t="s">
        <v>3514</v>
      </c>
      <c r="E281" s="277" t="s">
        <v>5155</v>
      </c>
      <c r="F281" s="261" t="s">
        <v>5156</v>
      </c>
      <c r="G281" s="264" t="s">
        <v>5177</v>
      </c>
      <c r="H281" s="264" t="s">
        <v>5187</v>
      </c>
    </row>
    <row r="282" spans="1:8">
      <c r="A282" s="261" t="s">
        <v>1072</v>
      </c>
      <c r="B282" s="261" t="s">
        <v>1073</v>
      </c>
      <c r="C282" s="261" t="s">
        <v>1093</v>
      </c>
      <c r="D282" s="261" t="s">
        <v>1667</v>
      </c>
      <c r="E282" s="277" t="s">
        <v>5155</v>
      </c>
      <c r="F282" s="261" t="s">
        <v>5156</v>
      </c>
      <c r="G282" s="264" t="s">
        <v>5177</v>
      </c>
      <c r="H282" s="264" t="s">
        <v>5187</v>
      </c>
    </row>
    <row r="283" spans="1:8">
      <c r="A283" s="261" t="s">
        <v>1072</v>
      </c>
      <c r="B283" s="261" t="s">
        <v>1073</v>
      </c>
      <c r="C283" s="261" t="s">
        <v>1094</v>
      </c>
      <c r="D283" s="261" t="s">
        <v>1668</v>
      </c>
      <c r="E283" s="277" t="s">
        <v>5155</v>
      </c>
      <c r="F283" s="261" t="s">
        <v>5156</v>
      </c>
      <c r="G283" s="264" t="s">
        <v>5177</v>
      </c>
      <c r="H283" s="264" t="s">
        <v>5187</v>
      </c>
    </row>
    <row r="284" spans="1:8">
      <c r="A284" s="261" t="s">
        <v>1072</v>
      </c>
      <c r="B284" s="261" t="s">
        <v>1073</v>
      </c>
      <c r="C284" s="261" t="s">
        <v>1095</v>
      </c>
      <c r="D284" s="261" t="s">
        <v>1669</v>
      </c>
      <c r="E284" s="277" t="s">
        <v>5155</v>
      </c>
      <c r="F284" s="261" t="s">
        <v>5156</v>
      </c>
      <c r="G284" s="264" t="s">
        <v>5177</v>
      </c>
      <c r="H284" s="264" t="s">
        <v>5187</v>
      </c>
    </row>
    <row r="285" spans="1:8">
      <c r="A285" s="261" t="s">
        <v>1072</v>
      </c>
      <c r="B285" s="261" t="s">
        <v>1073</v>
      </c>
      <c r="C285" s="261" t="s">
        <v>1096</v>
      </c>
      <c r="D285" s="261" t="s">
        <v>1097</v>
      </c>
      <c r="E285" s="277" t="s">
        <v>5155</v>
      </c>
      <c r="F285" s="261" t="s">
        <v>5156</v>
      </c>
      <c r="G285" s="264" t="s">
        <v>5177</v>
      </c>
      <c r="H285" s="264" t="s">
        <v>5187</v>
      </c>
    </row>
    <row r="286" spans="1:8">
      <c r="A286" s="261" t="s">
        <v>1072</v>
      </c>
      <c r="B286" s="261" t="s">
        <v>1073</v>
      </c>
      <c r="C286" s="261" t="s">
        <v>1098</v>
      </c>
      <c r="D286" s="261" t="s">
        <v>1670</v>
      </c>
      <c r="E286" s="277" t="s">
        <v>5155</v>
      </c>
      <c r="F286" s="261" t="s">
        <v>5156</v>
      </c>
      <c r="G286" s="264" t="s">
        <v>5177</v>
      </c>
      <c r="H286" s="264" t="s">
        <v>5187</v>
      </c>
    </row>
    <row r="287" spans="1:8">
      <c r="A287" s="261" t="s">
        <v>1072</v>
      </c>
      <c r="B287" s="261" t="s">
        <v>1073</v>
      </c>
      <c r="C287" s="261" t="s">
        <v>1099</v>
      </c>
      <c r="D287" s="261" t="s">
        <v>1671</v>
      </c>
      <c r="E287" s="277" t="s">
        <v>5155</v>
      </c>
      <c r="F287" s="261" t="s">
        <v>5156</v>
      </c>
      <c r="G287" s="264" t="s">
        <v>5177</v>
      </c>
      <c r="H287" s="264" t="s">
        <v>5187</v>
      </c>
    </row>
    <row r="288" spans="1:8">
      <c r="A288" s="261" t="s">
        <v>1072</v>
      </c>
      <c r="B288" s="261" t="s">
        <v>1073</v>
      </c>
      <c r="C288" s="261" t="s">
        <v>1100</v>
      </c>
      <c r="D288" s="261" t="s">
        <v>1101</v>
      </c>
      <c r="E288" s="277" t="s">
        <v>5155</v>
      </c>
      <c r="F288" s="261" t="s">
        <v>5156</v>
      </c>
      <c r="G288" s="264" t="s">
        <v>5177</v>
      </c>
      <c r="H288" s="264" t="s">
        <v>5187</v>
      </c>
    </row>
    <row r="289" spans="1:8">
      <c r="A289" s="261" t="s">
        <v>1072</v>
      </c>
      <c r="B289" s="261" t="s">
        <v>1073</v>
      </c>
      <c r="C289" s="261" t="s">
        <v>1102</v>
      </c>
      <c r="D289" s="261" t="s">
        <v>1103</v>
      </c>
      <c r="E289" s="277" t="s">
        <v>5155</v>
      </c>
      <c r="F289" s="261" t="s">
        <v>5156</v>
      </c>
      <c r="G289" s="264" t="s">
        <v>5177</v>
      </c>
      <c r="H289" s="264" t="s">
        <v>5187</v>
      </c>
    </row>
    <row r="290" spans="1:8">
      <c r="A290" s="261" t="s">
        <v>1072</v>
      </c>
      <c r="B290" s="261" t="s">
        <v>1073</v>
      </c>
      <c r="C290" s="261" t="s">
        <v>1962</v>
      </c>
      <c r="D290" s="261" t="s">
        <v>1963</v>
      </c>
      <c r="E290" s="277" t="s">
        <v>5155</v>
      </c>
      <c r="F290" s="261" t="s">
        <v>5156</v>
      </c>
      <c r="G290" s="264" t="s">
        <v>5177</v>
      </c>
      <c r="H290" s="264" t="s">
        <v>5187</v>
      </c>
    </row>
    <row r="291" spans="1:8">
      <c r="A291" s="261" t="s">
        <v>1072</v>
      </c>
      <c r="B291" s="261" t="s">
        <v>1073</v>
      </c>
      <c r="C291" s="261" t="s">
        <v>1964</v>
      </c>
      <c r="D291" s="261" t="s">
        <v>1965</v>
      </c>
      <c r="E291" s="277" t="s">
        <v>5155</v>
      </c>
      <c r="F291" s="261" t="s">
        <v>5156</v>
      </c>
      <c r="G291" s="264" t="s">
        <v>5177</v>
      </c>
      <c r="H291" s="264" t="s">
        <v>5187</v>
      </c>
    </row>
    <row r="292" spans="1:8">
      <c r="A292" s="261" t="s">
        <v>1072</v>
      </c>
      <c r="B292" s="261" t="s">
        <v>1073</v>
      </c>
      <c r="C292" s="261" t="s">
        <v>1966</v>
      </c>
      <c r="D292" s="261" t="s">
        <v>1967</v>
      </c>
      <c r="E292" s="277" t="s">
        <v>5155</v>
      </c>
      <c r="F292" s="261" t="s">
        <v>5156</v>
      </c>
      <c r="G292" s="264" t="s">
        <v>5177</v>
      </c>
      <c r="H292" s="264" t="s">
        <v>5187</v>
      </c>
    </row>
    <row r="293" spans="1:8">
      <c r="A293" s="261" t="s">
        <v>1072</v>
      </c>
      <c r="B293" s="261" t="s">
        <v>1073</v>
      </c>
      <c r="C293" s="261" t="s">
        <v>3515</v>
      </c>
      <c r="D293" s="261" t="s">
        <v>3516</v>
      </c>
      <c r="E293" s="277" t="s">
        <v>5155</v>
      </c>
      <c r="F293" s="261" t="s">
        <v>5156</v>
      </c>
      <c r="G293" s="264" t="s">
        <v>5177</v>
      </c>
      <c r="H293" s="264" t="s">
        <v>5187</v>
      </c>
    </row>
    <row r="294" spans="1:8">
      <c r="A294" s="261" t="s">
        <v>1072</v>
      </c>
      <c r="B294" s="261" t="s">
        <v>1073</v>
      </c>
      <c r="C294" s="261" t="s">
        <v>3517</v>
      </c>
      <c r="D294" s="261" t="s">
        <v>3518</v>
      </c>
      <c r="E294" s="277" t="s">
        <v>5155</v>
      </c>
      <c r="F294" s="261" t="s">
        <v>5156</v>
      </c>
      <c r="G294" s="264" t="s">
        <v>5177</v>
      </c>
      <c r="H294" s="264" t="s">
        <v>5187</v>
      </c>
    </row>
    <row r="295" spans="1:8">
      <c r="A295" s="261" t="s">
        <v>1104</v>
      </c>
      <c r="B295" s="261" t="s">
        <v>1105</v>
      </c>
      <c r="C295" s="261" t="s">
        <v>1106</v>
      </c>
      <c r="D295" s="261" t="s">
        <v>1107</v>
      </c>
      <c r="E295" s="277" t="s">
        <v>5171</v>
      </c>
      <c r="F295" s="261" t="s">
        <v>5172</v>
      </c>
      <c r="G295" s="264" t="s">
        <v>5177</v>
      </c>
      <c r="H295" s="264" t="s">
        <v>5189</v>
      </c>
    </row>
    <row r="296" spans="1:8">
      <c r="A296" s="261" t="s">
        <v>1104</v>
      </c>
      <c r="B296" s="261" t="s">
        <v>1105</v>
      </c>
      <c r="C296" s="261" t="s">
        <v>1106</v>
      </c>
      <c r="D296" s="261" t="s">
        <v>1107</v>
      </c>
      <c r="E296" s="277" t="s">
        <v>5155</v>
      </c>
      <c r="F296" s="261" t="s">
        <v>5156</v>
      </c>
      <c r="G296" s="264" t="s">
        <v>5177</v>
      </c>
      <c r="H296" s="264" t="s">
        <v>5187</v>
      </c>
    </row>
    <row r="297" spans="1:8">
      <c r="A297" s="261" t="s">
        <v>1104</v>
      </c>
      <c r="B297" s="261" t="s">
        <v>1105</v>
      </c>
      <c r="C297" s="261" t="s">
        <v>1108</v>
      </c>
      <c r="D297" s="261" t="s">
        <v>1109</v>
      </c>
      <c r="E297" s="277" t="s">
        <v>5155</v>
      </c>
      <c r="F297" s="261" t="s">
        <v>5156</v>
      </c>
      <c r="G297" s="264" t="s">
        <v>5177</v>
      </c>
      <c r="H297" s="264" t="s">
        <v>5187</v>
      </c>
    </row>
    <row r="298" spans="1:8">
      <c r="A298" s="261" t="s">
        <v>1104</v>
      </c>
      <c r="B298" s="261" t="s">
        <v>1105</v>
      </c>
      <c r="C298" s="261" t="s">
        <v>1110</v>
      </c>
      <c r="D298" s="261" t="s">
        <v>1111</v>
      </c>
      <c r="E298" s="277" t="s">
        <v>5155</v>
      </c>
      <c r="F298" s="261" t="s">
        <v>5156</v>
      </c>
      <c r="G298" s="264" t="s">
        <v>5177</v>
      </c>
      <c r="H298" s="264" t="s">
        <v>5187</v>
      </c>
    </row>
    <row r="299" spans="1:8">
      <c r="A299" s="261" t="s">
        <v>1104</v>
      </c>
      <c r="B299" s="261" t="s">
        <v>1105</v>
      </c>
      <c r="C299" s="261" t="s">
        <v>1112</v>
      </c>
      <c r="D299" s="261" t="s">
        <v>1113</v>
      </c>
      <c r="E299" s="277" t="s">
        <v>5155</v>
      </c>
      <c r="F299" s="261" t="s">
        <v>5156</v>
      </c>
      <c r="G299" s="264" t="s">
        <v>5177</v>
      </c>
      <c r="H299" s="264" t="s">
        <v>5187</v>
      </c>
    </row>
    <row r="300" spans="1:8">
      <c r="A300" s="261" t="s">
        <v>1104</v>
      </c>
      <c r="B300" s="261" t="s">
        <v>1105</v>
      </c>
      <c r="C300" s="261" t="s">
        <v>1114</v>
      </c>
      <c r="D300" s="261" t="s">
        <v>1115</v>
      </c>
      <c r="E300" s="277" t="s">
        <v>5155</v>
      </c>
      <c r="F300" s="261" t="s">
        <v>5156</v>
      </c>
      <c r="G300" s="264" t="s">
        <v>5177</v>
      </c>
      <c r="H300" s="264" t="s">
        <v>5187</v>
      </c>
    </row>
    <row r="301" spans="1:8">
      <c r="A301" s="261" t="s">
        <v>1104</v>
      </c>
      <c r="B301" s="261" t="s">
        <v>1105</v>
      </c>
      <c r="C301" s="261" t="s">
        <v>1116</v>
      </c>
      <c r="D301" s="261" t="s">
        <v>1117</v>
      </c>
      <c r="E301" s="277" t="s">
        <v>5155</v>
      </c>
      <c r="F301" s="261" t="s">
        <v>5156</v>
      </c>
      <c r="G301" s="264" t="s">
        <v>5177</v>
      </c>
      <c r="H301" s="264" t="s">
        <v>5187</v>
      </c>
    </row>
    <row r="302" spans="1:8">
      <c r="A302" s="261" t="s">
        <v>1104</v>
      </c>
      <c r="B302" s="261" t="s">
        <v>1105</v>
      </c>
      <c r="C302" s="261" t="s">
        <v>1118</v>
      </c>
      <c r="D302" s="261" t="s">
        <v>1119</v>
      </c>
      <c r="E302" s="277" t="s">
        <v>5155</v>
      </c>
      <c r="F302" s="261" t="s">
        <v>5156</v>
      </c>
      <c r="G302" s="264" t="s">
        <v>5177</v>
      </c>
      <c r="H302" s="264" t="s">
        <v>5187</v>
      </c>
    </row>
    <row r="303" spans="1:8">
      <c r="A303" s="261" t="s">
        <v>1104</v>
      </c>
      <c r="B303" s="261" t="s">
        <v>1105</v>
      </c>
      <c r="C303" s="261" t="s">
        <v>1120</v>
      </c>
      <c r="D303" s="261" t="s">
        <v>1121</v>
      </c>
      <c r="E303" s="277" t="s">
        <v>5155</v>
      </c>
      <c r="F303" s="261" t="s">
        <v>5156</v>
      </c>
      <c r="G303" s="264" t="s">
        <v>5177</v>
      </c>
      <c r="H303" s="264" t="s">
        <v>5187</v>
      </c>
    </row>
    <row r="304" spans="1:8">
      <c r="A304" s="261" t="s">
        <v>1104</v>
      </c>
      <c r="B304" s="261" t="s">
        <v>1105</v>
      </c>
      <c r="C304" s="261" t="s">
        <v>1122</v>
      </c>
      <c r="D304" s="261" t="s">
        <v>1123</v>
      </c>
      <c r="E304" s="277" t="s">
        <v>5171</v>
      </c>
      <c r="F304" s="261" t="s">
        <v>5172</v>
      </c>
      <c r="G304" s="264" t="s">
        <v>5177</v>
      </c>
      <c r="H304" s="264" t="s">
        <v>5189</v>
      </c>
    </row>
    <row r="305" spans="1:8">
      <c r="A305" s="261" t="s">
        <v>1104</v>
      </c>
      <c r="B305" s="261" t="s">
        <v>1105</v>
      </c>
      <c r="C305" s="261" t="s">
        <v>1122</v>
      </c>
      <c r="D305" s="261" t="s">
        <v>1123</v>
      </c>
      <c r="E305" s="277" t="s">
        <v>5155</v>
      </c>
      <c r="F305" s="261" t="s">
        <v>5156</v>
      </c>
      <c r="G305" s="264" t="s">
        <v>5177</v>
      </c>
      <c r="H305" s="264" t="s">
        <v>5187</v>
      </c>
    </row>
    <row r="306" spans="1:8">
      <c r="A306" s="261" t="s">
        <v>1104</v>
      </c>
      <c r="B306" s="261" t="s">
        <v>1105</v>
      </c>
      <c r="C306" s="261" t="s">
        <v>1124</v>
      </c>
      <c r="D306" s="261" t="s">
        <v>1125</v>
      </c>
      <c r="E306" s="277" t="s">
        <v>5155</v>
      </c>
      <c r="F306" s="261" t="s">
        <v>5156</v>
      </c>
      <c r="G306" s="264" t="s">
        <v>5177</v>
      </c>
      <c r="H306" s="264" t="s">
        <v>5187</v>
      </c>
    </row>
    <row r="307" spans="1:8">
      <c r="A307" s="261" t="s">
        <v>1104</v>
      </c>
      <c r="B307" s="261" t="s">
        <v>1105</v>
      </c>
      <c r="C307" s="261" t="s">
        <v>1126</v>
      </c>
      <c r="D307" s="261" t="s">
        <v>1127</v>
      </c>
      <c r="E307" s="277" t="s">
        <v>5155</v>
      </c>
      <c r="F307" s="261" t="s">
        <v>5156</v>
      </c>
      <c r="G307" s="264" t="s">
        <v>5177</v>
      </c>
      <c r="H307" s="264" t="s">
        <v>5187</v>
      </c>
    </row>
    <row r="308" spans="1:8">
      <c r="A308" s="261" t="s">
        <v>1104</v>
      </c>
      <c r="B308" s="261" t="s">
        <v>1105</v>
      </c>
      <c r="C308" s="261" t="s">
        <v>1968</v>
      </c>
      <c r="D308" s="261" t="s">
        <v>1969</v>
      </c>
      <c r="E308" s="277" t="s">
        <v>5155</v>
      </c>
      <c r="F308" s="261" t="s">
        <v>5156</v>
      </c>
      <c r="G308" s="264" t="s">
        <v>5177</v>
      </c>
      <c r="H308" s="264" t="s">
        <v>5187</v>
      </c>
    </row>
    <row r="309" spans="1:8">
      <c r="A309" s="261" t="s">
        <v>1104</v>
      </c>
      <c r="B309" s="261" t="s">
        <v>1105</v>
      </c>
      <c r="C309" s="261" t="s">
        <v>1970</v>
      </c>
      <c r="D309" s="261" t="s">
        <v>1971</v>
      </c>
      <c r="E309" s="277" t="s">
        <v>5155</v>
      </c>
      <c r="F309" s="261" t="s">
        <v>5156</v>
      </c>
      <c r="G309" s="264" t="s">
        <v>5177</v>
      </c>
      <c r="H309" s="264" t="s">
        <v>5187</v>
      </c>
    </row>
    <row r="310" spans="1:8">
      <c r="A310" s="261" t="s">
        <v>1104</v>
      </c>
      <c r="B310" s="261" t="s">
        <v>1105</v>
      </c>
      <c r="C310" s="261" t="s">
        <v>1972</v>
      </c>
      <c r="D310" s="261" t="s">
        <v>1973</v>
      </c>
      <c r="E310" s="277" t="s">
        <v>5155</v>
      </c>
      <c r="F310" s="261" t="s">
        <v>5156</v>
      </c>
      <c r="G310" s="264" t="s">
        <v>5177</v>
      </c>
      <c r="H310" s="264" t="s">
        <v>5187</v>
      </c>
    </row>
    <row r="311" spans="1:8">
      <c r="A311" s="261" t="s">
        <v>1104</v>
      </c>
      <c r="B311" s="261" t="s">
        <v>1105</v>
      </c>
      <c r="C311" s="261" t="s">
        <v>3519</v>
      </c>
      <c r="D311" s="261" t="s">
        <v>3520</v>
      </c>
      <c r="E311" s="277" t="s">
        <v>5155</v>
      </c>
      <c r="F311" s="261" t="s">
        <v>5156</v>
      </c>
      <c r="G311" s="264" t="s">
        <v>5177</v>
      </c>
      <c r="H311" s="264" t="s">
        <v>5187</v>
      </c>
    </row>
    <row r="312" spans="1:8">
      <c r="A312" s="261" t="s">
        <v>1104</v>
      </c>
      <c r="B312" s="261" t="s">
        <v>1105</v>
      </c>
      <c r="C312" s="261" t="s">
        <v>1128</v>
      </c>
      <c r="D312" s="261" t="s">
        <v>685</v>
      </c>
      <c r="E312" s="277" t="s">
        <v>5171</v>
      </c>
      <c r="F312" s="261" t="s">
        <v>5172</v>
      </c>
      <c r="G312" s="264" t="s">
        <v>5177</v>
      </c>
      <c r="H312" s="264" t="s">
        <v>5189</v>
      </c>
    </row>
    <row r="313" spans="1:8">
      <c r="A313" s="261" t="s">
        <v>1104</v>
      </c>
      <c r="B313" s="261" t="s">
        <v>1105</v>
      </c>
      <c r="C313" s="261" t="s">
        <v>1129</v>
      </c>
      <c r="D313" s="261" t="s">
        <v>1130</v>
      </c>
      <c r="E313" s="277" t="s">
        <v>5171</v>
      </c>
      <c r="F313" s="261" t="s">
        <v>5172</v>
      </c>
      <c r="G313" s="264" t="s">
        <v>5177</v>
      </c>
      <c r="H313" s="264" t="s">
        <v>5189</v>
      </c>
    </row>
    <row r="314" spans="1:8">
      <c r="A314" s="261" t="s">
        <v>3467</v>
      </c>
      <c r="B314" s="261" t="s">
        <v>3468</v>
      </c>
      <c r="C314" s="261" t="s">
        <v>1796</v>
      </c>
      <c r="D314" s="261" t="s">
        <v>1797</v>
      </c>
      <c r="E314" s="277" t="s">
        <v>5153</v>
      </c>
      <c r="F314" s="261" t="s">
        <v>5154</v>
      </c>
      <c r="G314" s="264" t="s">
        <v>5179</v>
      </c>
      <c r="H314" s="264" t="s">
        <v>5180</v>
      </c>
    </row>
    <row r="315" spans="1:8">
      <c r="A315" s="261" t="s">
        <v>3467</v>
      </c>
      <c r="B315" s="261" t="s">
        <v>3468</v>
      </c>
      <c r="C315" s="261" t="s">
        <v>1828</v>
      </c>
      <c r="D315" s="261" t="s">
        <v>1829</v>
      </c>
      <c r="E315" s="277" t="s">
        <v>5153</v>
      </c>
      <c r="F315" s="261" t="s">
        <v>5154</v>
      </c>
      <c r="G315" s="264" t="s">
        <v>5179</v>
      </c>
      <c r="H315" s="264" t="s">
        <v>5180</v>
      </c>
    </row>
    <row r="316" spans="1:8">
      <c r="A316" s="261" t="s">
        <v>3467</v>
      </c>
      <c r="B316" s="261" t="s">
        <v>3468</v>
      </c>
      <c r="C316" s="261" t="s">
        <v>3521</v>
      </c>
      <c r="D316" s="261" t="s">
        <v>3522</v>
      </c>
      <c r="E316" s="277" t="s">
        <v>5153</v>
      </c>
      <c r="F316" s="261" t="s">
        <v>5154</v>
      </c>
      <c r="G316" s="264" t="s">
        <v>5179</v>
      </c>
      <c r="H316" s="264" t="s">
        <v>5180</v>
      </c>
    </row>
    <row r="317" spans="1:8">
      <c r="A317" s="261" t="s">
        <v>3467</v>
      </c>
      <c r="B317" s="261" t="s">
        <v>3468</v>
      </c>
      <c r="C317" s="261" t="s">
        <v>3523</v>
      </c>
      <c r="D317" s="261" t="s">
        <v>3524</v>
      </c>
      <c r="E317" s="277" t="s">
        <v>5153</v>
      </c>
      <c r="F317" s="261" t="s">
        <v>5154</v>
      </c>
      <c r="G317" s="264" t="s">
        <v>5179</v>
      </c>
      <c r="H317" s="264" t="s">
        <v>5180</v>
      </c>
    </row>
    <row r="318" spans="1:8">
      <c r="A318" s="261" t="s">
        <v>3467</v>
      </c>
      <c r="B318" s="261" t="s">
        <v>3468</v>
      </c>
      <c r="C318" s="261" t="s">
        <v>3525</v>
      </c>
      <c r="D318" s="261" t="s">
        <v>3526</v>
      </c>
      <c r="E318" s="277" t="s">
        <v>5153</v>
      </c>
      <c r="F318" s="261" t="s">
        <v>5154</v>
      </c>
      <c r="G318" s="264" t="s">
        <v>5179</v>
      </c>
      <c r="H318" s="264" t="s">
        <v>5180</v>
      </c>
    </row>
    <row r="319" spans="1:8">
      <c r="A319" s="261" t="s">
        <v>3467</v>
      </c>
      <c r="B319" s="261" t="s">
        <v>3468</v>
      </c>
      <c r="C319" s="261" t="s">
        <v>1872</v>
      </c>
      <c r="D319" s="261" t="s">
        <v>1873</v>
      </c>
      <c r="E319" s="277" t="s">
        <v>5153</v>
      </c>
      <c r="F319" s="261" t="s">
        <v>5154</v>
      </c>
      <c r="G319" s="264" t="s">
        <v>5179</v>
      </c>
      <c r="H319" s="264" t="s">
        <v>5180</v>
      </c>
    </row>
    <row r="320" spans="1:8">
      <c r="A320" s="261" t="s">
        <v>3467</v>
      </c>
      <c r="B320" s="261" t="s">
        <v>3468</v>
      </c>
      <c r="C320" s="261" t="s">
        <v>960</v>
      </c>
      <c r="D320" s="261" t="s">
        <v>961</v>
      </c>
      <c r="E320" s="277" t="s">
        <v>5153</v>
      </c>
      <c r="F320" s="261" t="s">
        <v>5154</v>
      </c>
      <c r="G320" s="264" t="s">
        <v>5179</v>
      </c>
      <c r="H320" s="264" t="s">
        <v>5180</v>
      </c>
    </row>
    <row r="321" spans="1:8">
      <c r="A321" s="261" t="s">
        <v>3467</v>
      </c>
      <c r="B321" s="261" t="s">
        <v>3468</v>
      </c>
      <c r="C321" s="261" t="s">
        <v>3527</v>
      </c>
      <c r="D321" s="261" t="s">
        <v>3528</v>
      </c>
      <c r="E321" s="277" t="s">
        <v>5153</v>
      </c>
      <c r="F321" s="261" t="s">
        <v>5154</v>
      </c>
      <c r="G321" s="264" t="s">
        <v>5179</v>
      </c>
      <c r="H321" s="264" t="s">
        <v>5180</v>
      </c>
    </row>
    <row r="322" spans="1:8">
      <c r="A322" s="261" t="s">
        <v>3467</v>
      </c>
      <c r="B322" s="261" t="s">
        <v>3468</v>
      </c>
      <c r="C322" s="261" t="s">
        <v>3529</v>
      </c>
      <c r="D322" s="261" t="s">
        <v>3530</v>
      </c>
      <c r="E322" s="277" t="s">
        <v>5153</v>
      </c>
      <c r="F322" s="261" t="s">
        <v>5154</v>
      </c>
      <c r="G322" s="264" t="s">
        <v>5179</v>
      </c>
      <c r="H322" s="264" t="s">
        <v>5180</v>
      </c>
    </row>
    <row r="323" spans="1:8">
      <c r="A323" s="261" t="s">
        <v>3467</v>
      </c>
      <c r="B323" s="261" t="s">
        <v>3468</v>
      </c>
      <c r="C323" s="261" t="s">
        <v>3531</v>
      </c>
      <c r="D323" s="261" t="s">
        <v>3532</v>
      </c>
      <c r="E323" s="277" t="s">
        <v>5153</v>
      </c>
      <c r="F323" s="261" t="s">
        <v>5154</v>
      </c>
      <c r="G323" s="264" t="s">
        <v>5179</v>
      </c>
      <c r="H323" s="264" t="s">
        <v>5180</v>
      </c>
    </row>
    <row r="324" spans="1:8">
      <c r="A324" s="261" t="s">
        <v>3467</v>
      </c>
      <c r="B324" s="261" t="s">
        <v>3468</v>
      </c>
      <c r="C324" s="261" t="s">
        <v>3469</v>
      </c>
      <c r="D324" s="261" t="s">
        <v>685</v>
      </c>
      <c r="E324" s="277" t="s">
        <v>5153</v>
      </c>
      <c r="F324" s="261" t="s">
        <v>5154</v>
      </c>
      <c r="G324" s="264" t="s">
        <v>5179</v>
      </c>
      <c r="H324" s="264" t="s">
        <v>5180</v>
      </c>
    </row>
  </sheetData>
  <autoFilter ref="A3:H324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/>
  <dimension ref="A1:B1116"/>
  <sheetViews>
    <sheetView zoomScaleNormal="100" workbookViewId="0">
      <pane xSplit="1" ySplit="2" topLeftCell="B607" activePane="bottomRight" state="frozen"/>
      <selection pane="topRight" activeCell="B1" sqref="B1"/>
      <selection pane="bottomLeft" activeCell="A3" sqref="A3"/>
      <selection pane="bottomRight" activeCell="B628" sqref="B628"/>
    </sheetView>
  </sheetViews>
  <sheetFormatPr defaultRowHeight="15"/>
  <cols>
    <col min="1" max="1" width="22.5703125" customWidth="1"/>
    <col min="2" max="2" width="131" customWidth="1"/>
  </cols>
  <sheetData>
    <row r="1" spans="1:2">
      <c r="A1" s="138" t="s">
        <v>1131</v>
      </c>
      <c r="B1" s="139"/>
    </row>
    <row r="2" spans="1:2">
      <c r="A2" s="183" t="s">
        <v>699</v>
      </c>
      <c r="B2" s="184"/>
    </row>
    <row r="3" spans="1:2">
      <c r="A3" s="173" t="s">
        <v>933</v>
      </c>
      <c r="B3" s="177" t="s">
        <v>493</v>
      </c>
    </row>
    <row r="4" spans="1:2">
      <c r="A4" s="174" t="s">
        <v>941</v>
      </c>
      <c r="B4" s="178" t="s">
        <v>942</v>
      </c>
    </row>
    <row r="5" spans="1:2">
      <c r="A5" s="175" t="s">
        <v>964</v>
      </c>
      <c r="B5" s="176" t="s">
        <v>1653</v>
      </c>
    </row>
    <row r="6" spans="1:2">
      <c r="A6" s="180" t="s">
        <v>1169</v>
      </c>
      <c r="B6" s="179" t="s">
        <v>1170</v>
      </c>
    </row>
    <row r="7" spans="1:2">
      <c r="A7" s="180" t="s">
        <v>1171</v>
      </c>
      <c r="B7" s="179" t="s">
        <v>1172</v>
      </c>
    </row>
    <row r="8" spans="1:2">
      <c r="A8" s="180" t="s">
        <v>1173</v>
      </c>
      <c r="B8" s="179" t="s">
        <v>1174</v>
      </c>
    </row>
    <row r="9" spans="1:2">
      <c r="A9" s="180" t="s">
        <v>1175</v>
      </c>
      <c r="B9" s="179" t="s">
        <v>258</v>
      </c>
    </row>
    <row r="10" spans="1:2">
      <c r="A10" s="180" t="s">
        <v>1176</v>
      </c>
      <c r="B10" s="179" t="s">
        <v>1177</v>
      </c>
    </row>
    <row r="11" spans="1:2">
      <c r="A11" s="180" t="s">
        <v>1178</v>
      </c>
      <c r="B11" s="179" t="s">
        <v>1179</v>
      </c>
    </row>
    <row r="12" spans="1:2">
      <c r="A12" s="180" t="s">
        <v>1180</v>
      </c>
      <c r="B12" s="179" t="s">
        <v>1181</v>
      </c>
    </row>
    <row r="13" spans="1:2" ht="15.75" customHeight="1">
      <c r="A13" s="180" t="s">
        <v>1182</v>
      </c>
      <c r="B13" s="179" t="s">
        <v>1183</v>
      </c>
    </row>
    <row r="14" spans="1:2">
      <c r="A14" s="175" t="s">
        <v>957</v>
      </c>
      <c r="B14" s="176" t="s">
        <v>1002</v>
      </c>
    </row>
    <row r="15" spans="1:2">
      <c r="A15" s="180" t="s">
        <v>1132</v>
      </c>
      <c r="B15" s="179" t="s">
        <v>1133</v>
      </c>
    </row>
    <row r="16" spans="1:2">
      <c r="A16" s="180" t="s">
        <v>1134</v>
      </c>
      <c r="B16" s="179" t="s">
        <v>1135</v>
      </c>
    </row>
    <row r="17" spans="1:2">
      <c r="A17" s="180" t="s">
        <v>1136</v>
      </c>
      <c r="B17" s="179" t="s">
        <v>1137</v>
      </c>
    </row>
    <row r="18" spans="1:2">
      <c r="A18" s="180" t="s">
        <v>1138</v>
      </c>
      <c r="B18" s="179" t="s">
        <v>1139</v>
      </c>
    </row>
    <row r="19" spans="1:2">
      <c r="A19" s="180" t="s">
        <v>1140</v>
      </c>
      <c r="B19" s="179" t="s">
        <v>873</v>
      </c>
    </row>
    <row r="20" spans="1:2">
      <c r="A20" s="180" t="s">
        <v>1141</v>
      </c>
      <c r="B20" s="179" t="s">
        <v>875</v>
      </c>
    </row>
    <row r="21" spans="1:2">
      <c r="A21" s="180" t="s">
        <v>1142</v>
      </c>
      <c r="B21" s="179" t="s">
        <v>877</v>
      </c>
    </row>
    <row r="22" spans="1:2">
      <c r="A22" s="180" t="s">
        <v>1143</v>
      </c>
      <c r="B22" s="179" t="s">
        <v>1144</v>
      </c>
    </row>
    <row r="23" spans="1:2">
      <c r="A23" s="180" t="s">
        <v>1145</v>
      </c>
      <c r="B23" s="179" t="s">
        <v>1146</v>
      </c>
    </row>
    <row r="24" spans="1:2">
      <c r="A24" s="180" t="s">
        <v>1147</v>
      </c>
      <c r="B24" s="179" t="s">
        <v>1148</v>
      </c>
    </row>
    <row r="25" spans="1:2">
      <c r="A25" s="180" t="s">
        <v>1149</v>
      </c>
      <c r="B25" s="179" t="s">
        <v>1150</v>
      </c>
    </row>
    <row r="26" spans="1:2">
      <c r="A26" s="180" t="s">
        <v>1151</v>
      </c>
      <c r="B26" s="179" t="s">
        <v>1152</v>
      </c>
    </row>
    <row r="27" spans="1:2">
      <c r="A27" s="180" t="s">
        <v>1153</v>
      </c>
      <c r="B27" s="179" t="s">
        <v>1154</v>
      </c>
    </row>
    <row r="28" spans="1:2">
      <c r="A28" s="180" t="s">
        <v>1155</v>
      </c>
      <c r="B28" s="179" t="s">
        <v>1156</v>
      </c>
    </row>
    <row r="29" spans="1:2">
      <c r="A29" s="180" t="s">
        <v>1157</v>
      </c>
      <c r="B29" s="179" t="s">
        <v>1158</v>
      </c>
    </row>
    <row r="30" spans="1:2">
      <c r="A30" s="180" t="s">
        <v>1159</v>
      </c>
      <c r="B30" s="179" t="s">
        <v>1160</v>
      </c>
    </row>
    <row r="31" spans="1:2">
      <c r="A31" s="180" t="s">
        <v>1161</v>
      </c>
      <c r="B31" s="179" t="s">
        <v>1162</v>
      </c>
    </row>
    <row r="32" spans="1:2">
      <c r="A32" s="180" t="s">
        <v>1163</v>
      </c>
      <c r="B32" s="179" t="s">
        <v>1164</v>
      </c>
    </row>
    <row r="33" spans="1:2">
      <c r="A33" s="180" t="s">
        <v>1165</v>
      </c>
      <c r="B33" s="179" t="s">
        <v>1166</v>
      </c>
    </row>
    <row r="34" spans="1:2">
      <c r="A34" s="180" t="s">
        <v>1167</v>
      </c>
      <c r="B34" s="179" t="s">
        <v>1168</v>
      </c>
    </row>
    <row r="35" spans="1:2">
      <c r="A35" s="180" t="s">
        <v>1249</v>
      </c>
      <c r="B35" s="179" t="s">
        <v>1189</v>
      </c>
    </row>
    <row r="36" spans="1:2">
      <c r="A36" s="180" t="s">
        <v>2017</v>
      </c>
      <c r="B36" s="179" t="s">
        <v>2018</v>
      </c>
    </row>
    <row r="37" spans="1:2">
      <c r="A37" s="174" t="s">
        <v>44</v>
      </c>
      <c r="B37" s="178" t="s">
        <v>45</v>
      </c>
    </row>
    <row r="38" spans="1:2">
      <c r="A38" s="175" t="s">
        <v>92</v>
      </c>
      <c r="B38" s="176" t="s">
        <v>1740</v>
      </c>
    </row>
    <row r="39" spans="1:2">
      <c r="A39" s="180" t="s">
        <v>700</v>
      </c>
      <c r="B39" s="179" t="s">
        <v>701</v>
      </c>
    </row>
    <row r="40" spans="1:2">
      <c r="A40" s="180" t="s">
        <v>702</v>
      </c>
      <c r="B40" s="179" t="s">
        <v>703</v>
      </c>
    </row>
    <row r="41" spans="1:2">
      <c r="A41" s="180" t="s">
        <v>704</v>
      </c>
      <c r="B41" s="179" t="s">
        <v>705</v>
      </c>
    </row>
    <row r="42" spans="1:2">
      <c r="A42" s="180" t="s">
        <v>706</v>
      </c>
      <c r="B42" s="179" t="s">
        <v>707</v>
      </c>
    </row>
    <row r="43" spans="1:2">
      <c r="A43" s="180" t="s">
        <v>708</v>
      </c>
      <c r="B43" s="179" t="s">
        <v>709</v>
      </c>
    </row>
    <row r="44" spans="1:2">
      <c r="A44" s="180" t="s">
        <v>3029</v>
      </c>
      <c r="B44" s="179" t="s">
        <v>3030</v>
      </c>
    </row>
    <row r="45" spans="1:2">
      <c r="A45" s="180" t="s">
        <v>3031</v>
      </c>
      <c r="B45" s="179" t="s">
        <v>3032</v>
      </c>
    </row>
    <row r="46" spans="1:2">
      <c r="A46" s="180" t="s">
        <v>3033</v>
      </c>
      <c r="B46" s="179" t="s">
        <v>3034</v>
      </c>
    </row>
    <row r="47" spans="1:2">
      <c r="A47" s="180" t="s">
        <v>710</v>
      </c>
      <c r="B47" s="179" t="s">
        <v>711</v>
      </c>
    </row>
    <row r="48" spans="1:2">
      <c r="A48" s="180" t="s">
        <v>1250</v>
      </c>
      <c r="B48" s="179" t="s">
        <v>1251</v>
      </c>
    </row>
    <row r="49" spans="1:2">
      <c r="A49" s="180" t="s">
        <v>1252</v>
      </c>
      <c r="B49" s="179" t="s">
        <v>1253</v>
      </c>
    </row>
    <row r="50" spans="1:2">
      <c r="A50" s="180" t="s">
        <v>1254</v>
      </c>
      <c r="B50" s="179" t="s">
        <v>1255</v>
      </c>
    </row>
    <row r="51" spans="1:2">
      <c r="A51" s="180" t="s">
        <v>1256</v>
      </c>
      <c r="B51" s="179" t="s">
        <v>1257</v>
      </c>
    </row>
    <row r="52" spans="1:2">
      <c r="A52" s="180" t="s">
        <v>1258</v>
      </c>
      <c r="B52" s="179" t="s">
        <v>1259</v>
      </c>
    </row>
    <row r="53" spans="1:2">
      <c r="A53" s="180" t="s">
        <v>1260</v>
      </c>
      <c r="B53" s="179" t="s">
        <v>1261</v>
      </c>
    </row>
    <row r="54" spans="1:2">
      <c r="A54" s="180" t="s">
        <v>1262</v>
      </c>
      <c r="B54" s="179" t="s">
        <v>1263</v>
      </c>
    </row>
    <row r="55" spans="1:2">
      <c r="A55" s="180" t="s">
        <v>1264</v>
      </c>
      <c r="B55" s="179" t="s">
        <v>1265</v>
      </c>
    </row>
    <row r="56" spans="1:2">
      <c r="A56" s="180" t="s">
        <v>1266</v>
      </c>
      <c r="B56" s="179" t="s">
        <v>1267</v>
      </c>
    </row>
    <row r="57" spans="1:2">
      <c r="A57" s="180" t="s">
        <v>1268</v>
      </c>
      <c r="B57" s="179" t="s">
        <v>1269</v>
      </c>
    </row>
    <row r="58" spans="1:2">
      <c r="A58" s="180" t="s">
        <v>1270</v>
      </c>
      <c r="B58" s="179" t="s">
        <v>1271</v>
      </c>
    </row>
    <row r="59" spans="1:2">
      <c r="A59" s="180" t="s">
        <v>3035</v>
      </c>
      <c r="B59" s="179" t="s">
        <v>3036</v>
      </c>
    </row>
    <row r="60" spans="1:2">
      <c r="A60" s="180" t="s">
        <v>2019</v>
      </c>
      <c r="B60" s="179" t="s">
        <v>2020</v>
      </c>
    </row>
    <row r="61" spans="1:2">
      <c r="A61" s="180" t="s">
        <v>2021</v>
      </c>
      <c r="B61" s="179" t="s">
        <v>2022</v>
      </c>
    </row>
    <row r="62" spans="1:2">
      <c r="A62" s="180" t="s">
        <v>2023</v>
      </c>
      <c r="B62" s="179" t="s">
        <v>2024</v>
      </c>
    </row>
    <row r="63" spans="1:2">
      <c r="A63" s="180" t="s">
        <v>2025</v>
      </c>
      <c r="B63" s="179" t="s">
        <v>2026</v>
      </c>
    </row>
    <row r="64" spans="1:2">
      <c r="A64" s="180" t="s">
        <v>2027</v>
      </c>
      <c r="B64" s="179" t="s">
        <v>2028</v>
      </c>
    </row>
    <row r="65" spans="1:2">
      <c r="A65" s="180" t="s">
        <v>2029</v>
      </c>
      <c r="B65" s="179" t="s">
        <v>2030</v>
      </c>
    </row>
    <row r="66" spans="1:2">
      <c r="A66" s="180" t="s">
        <v>2031</v>
      </c>
      <c r="B66" s="179" t="s">
        <v>2032</v>
      </c>
    </row>
    <row r="67" spans="1:2">
      <c r="A67" s="180" t="s">
        <v>2033</v>
      </c>
      <c r="B67" s="179" t="s">
        <v>2034</v>
      </c>
    </row>
    <row r="68" spans="1:2">
      <c r="A68" s="180" t="s">
        <v>2035</v>
      </c>
      <c r="B68" s="179" t="s">
        <v>2036</v>
      </c>
    </row>
    <row r="69" spans="1:2">
      <c r="A69" s="180" t="s">
        <v>2037</v>
      </c>
      <c r="B69" s="179" t="s">
        <v>2038</v>
      </c>
    </row>
    <row r="70" spans="1:2">
      <c r="A70" s="180" t="s">
        <v>2039</v>
      </c>
      <c r="B70" s="179" t="s">
        <v>2040</v>
      </c>
    </row>
    <row r="71" spans="1:2">
      <c r="A71" s="180" t="s">
        <v>2041</v>
      </c>
      <c r="B71" s="179" t="s">
        <v>2042</v>
      </c>
    </row>
    <row r="72" spans="1:2">
      <c r="A72" s="180" t="s">
        <v>2043</v>
      </c>
      <c r="B72" s="179" t="s">
        <v>2044</v>
      </c>
    </row>
    <row r="73" spans="1:2">
      <c r="A73" s="180" t="s">
        <v>2045</v>
      </c>
      <c r="B73" s="179" t="s">
        <v>2046</v>
      </c>
    </row>
    <row r="74" spans="1:2">
      <c r="A74" s="180" t="s">
        <v>2047</v>
      </c>
      <c r="B74" s="179" t="s">
        <v>2048</v>
      </c>
    </row>
    <row r="75" spans="1:2">
      <c r="A75" s="180" t="s">
        <v>2049</v>
      </c>
      <c r="B75" s="179" t="s">
        <v>2050</v>
      </c>
    </row>
    <row r="76" spans="1:2">
      <c r="A76" s="180" t="s">
        <v>2051</v>
      </c>
      <c r="B76" s="179" t="s">
        <v>2052</v>
      </c>
    </row>
    <row r="77" spans="1:2">
      <c r="A77" s="180" t="s">
        <v>2053</v>
      </c>
      <c r="B77" s="179" t="s">
        <v>2054</v>
      </c>
    </row>
    <row r="78" spans="1:2">
      <c r="A78" s="180" t="s">
        <v>2055</v>
      </c>
      <c r="B78" s="179" t="s">
        <v>2056</v>
      </c>
    </row>
    <row r="79" spans="1:2">
      <c r="A79" s="180" t="s">
        <v>2057</v>
      </c>
      <c r="B79" s="179" t="s">
        <v>2058</v>
      </c>
    </row>
    <row r="80" spans="1:2">
      <c r="A80" s="180" t="s">
        <v>2059</v>
      </c>
      <c r="B80" s="179" t="s">
        <v>2060</v>
      </c>
    </row>
    <row r="81" spans="1:2">
      <c r="A81" s="180" t="s">
        <v>2061</v>
      </c>
      <c r="B81" s="179" t="s">
        <v>2062</v>
      </c>
    </row>
    <row r="82" spans="1:2">
      <c r="A82" s="180" t="s">
        <v>2063</v>
      </c>
      <c r="B82" s="179" t="s">
        <v>2064</v>
      </c>
    </row>
    <row r="83" spans="1:2">
      <c r="A83" s="180" t="s">
        <v>2065</v>
      </c>
      <c r="B83" s="179" t="s">
        <v>2066</v>
      </c>
    </row>
    <row r="84" spans="1:2">
      <c r="A84" s="180" t="s">
        <v>2067</v>
      </c>
      <c r="B84" s="179" t="s">
        <v>2068</v>
      </c>
    </row>
    <row r="85" spans="1:2">
      <c r="A85" s="180" t="s">
        <v>2069</v>
      </c>
      <c r="B85" s="179" t="s">
        <v>2070</v>
      </c>
    </row>
    <row r="86" spans="1:2">
      <c r="A86" s="180" t="s">
        <v>3037</v>
      </c>
      <c r="B86" s="179" t="s">
        <v>3038</v>
      </c>
    </row>
    <row r="87" spans="1:2">
      <c r="A87" s="180" t="s">
        <v>3039</v>
      </c>
      <c r="B87" s="179" t="s">
        <v>3040</v>
      </c>
    </row>
    <row r="88" spans="1:2">
      <c r="A88" s="180" t="s">
        <v>3041</v>
      </c>
      <c r="B88" s="179" t="s">
        <v>3042</v>
      </c>
    </row>
    <row r="89" spans="1:2">
      <c r="A89" s="180" t="s">
        <v>3043</v>
      </c>
      <c r="B89" s="179" t="s">
        <v>3044</v>
      </c>
    </row>
    <row r="90" spans="1:2">
      <c r="A90" s="180" t="s">
        <v>3045</v>
      </c>
      <c r="B90" s="179" t="s">
        <v>3046</v>
      </c>
    </row>
    <row r="91" spans="1:2">
      <c r="A91" s="180" t="s">
        <v>3047</v>
      </c>
      <c r="B91" s="179" t="s">
        <v>3048</v>
      </c>
    </row>
    <row r="92" spans="1:2">
      <c r="A92" s="180" t="s">
        <v>3049</v>
      </c>
      <c r="B92" s="179" t="s">
        <v>3050</v>
      </c>
    </row>
    <row r="93" spans="1:2">
      <c r="A93" s="180" t="s">
        <v>3051</v>
      </c>
      <c r="B93" s="179" t="s">
        <v>3052</v>
      </c>
    </row>
    <row r="94" spans="1:2">
      <c r="A94" s="180" t="s">
        <v>3053</v>
      </c>
      <c r="B94" s="179" t="s">
        <v>1172</v>
      </c>
    </row>
    <row r="95" spans="1:2">
      <c r="A95" s="175" t="s">
        <v>117</v>
      </c>
      <c r="B95" s="176" t="s">
        <v>1741</v>
      </c>
    </row>
    <row r="96" spans="1:2">
      <c r="A96" s="180" t="s">
        <v>712</v>
      </c>
      <c r="B96" s="179" t="s">
        <v>713</v>
      </c>
    </row>
    <row r="97" spans="1:2">
      <c r="A97" s="180" t="s">
        <v>714</v>
      </c>
      <c r="B97" s="179" t="s">
        <v>715</v>
      </c>
    </row>
    <row r="98" spans="1:2">
      <c r="A98" s="180" t="s">
        <v>3054</v>
      </c>
      <c r="B98" s="179" t="s">
        <v>3055</v>
      </c>
    </row>
    <row r="99" spans="1:2">
      <c r="A99" s="180" t="s">
        <v>3056</v>
      </c>
      <c r="B99" s="179" t="s">
        <v>3057</v>
      </c>
    </row>
    <row r="100" spans="1:2">
      <c r="A100" s="180" t="s">
        <v>3058</v>
      </c>
      <c r="B100" s="179" t="s">
        <v>3059</v>
      </c>
    </row>
    <row r="101" spans="1:2">
      <c r="A101" s="180" t="s">
        <v>3060</v>
      </c>
      <c r="B101" s="179" t="s">
        <v>3061</v>
      </c>
    </row>
    <row r="102" spans="1:2">
      <c r="A102" s="180" t="s">
        <v>716</v>
      </c>
      <c r="B102" s="179" t="s">
        <v>717</v>
      </c>
    </row>
    <row r="103" spans="1:2">
      <c r="A103" s="180" t="s">
        <v>718</v>
      </c>
      <c r="B103" s="179" t="s">
        <v>719</v>
      </c>
    </row>
    <row r="104" spans="1:2">
      <c r="A104" s="180" t="s">
        <v>720</v>
      </c>
      <c r="B104" s="179" t="s">
        <v>721</v>
      </c>
    </row>
    <row r="105" spans="1:2">
      <c r="A105" s="180" t="s">
        <v>722</v>
      </c>
      <c r="B105" s="179" t="s">
        <v>723</v>
      </c>
    </row>
    <row r="106" spans="1:2">
      <c r="A106" s="180" t="s">
        <v>724</v>
      </c>
      <c r="B106" s="179" t="s">
        <v>725</v>
      </c>
    </row>
    <row r="107" spans="1:2">
      <c r="A107" s="180" t="s">
        <v>726</v>
      </c>
      <c r="B107" s="179" t="s">
        <v>727</v>
      </c>
    </row>
    <row r="108" spans="1:2">
      <c r="A108" s="180" t="s">
        <v>728</v>
      </c>
      <c r="B108" s="179" t="s">
        <v>729</v>
      </c>
    </row>
    <row r="109" spans="1:2">
      <c r="A109" s="180" t="s">
        <v>730</v>
      </c>
      <c r="B109" s="179" t="s">
        <v>731</v>
      </c>
    </row>
    <row r="110" spans="1:2">
      <c r="A110" s="180" t="s">
        <v>732</v>
      </c>
      <c r="B110" s="179" t="s">
        <v>733</v>
      </c>
    </row>
    <row r="111" spans="1:2">
      <c r="A111" s="180" t="s">
        <v>734</v>
      </c>
      <c r="B111" s="179" t="s">
        <v>735</v>
      </c>
    </row>
    <row r="112" spans="1:2">
      <c r="A112" s="180" t="s">
        <v>736</v>
      </c>
      <c r="B112" s="179" t="s">
        <v>737</v>
      </c>
    </row>
    <row r="113" spans="1:2">
      <c r="A113" s="180" t="s">
        <v>1272</v>
      </c>
      <c r="B113" s="179" t="s">
        <v>1273</v>
      </c>
    </row>
    <row r="114" spans="1:2">
      <c r="A114" s="180" t="s">
        <v>1274</v>
      </c>
      <c r="B114" s="179" t="s">
        <v>1275</v>
      </c>
    </row>
    <row r="115" spans="1:2">
      <c r="A115" s="180" t="s">
        <v>1276</v>
      </c>
      <c r="B115" s="179" t="s">
        <v>1277</v>
      </c>
    </row>
    <row r="116" spans="1:2">
      <c r="A116" s="180" t="s">
        <v>1278</v>
      </c>
      <c r="B116" s="179" t="s">
        <v>1279</v>
      </c>
    </row>
    <row r="117" spans="1:2">
      <c r="A117" s="180" t="s">
        <v>1280</v>
      </c>
      <c r="B117" s="179" t="s">
        <v>1281</v>
      </c>
    </row>
    <row r="118" spans="1:2">
      <c r="A118" s="180" t="s">
        <v>1282</v>
      </c>
      <c r="B118" s="179" t="s">
        <v>1283</v>
      </c>
    </row>
    <row r="119" spans="1:2">
      <c r="A119" s="180" t="s">
        <v>1284</v>
      </c>
      <c r="B119" s="179" t="s">
        <v>1285</v>
      </c>
    </row>
    <row r="120" spans="1:2">
      <c r="A120" s="180" t="s">
        <v>1286</v>
      </c>
      <c r="B120" s="179" t="s">
        <v>1287</v>
      </c>
    </row>
    <row r="121" spans="1:2">
      <c r="A121" s="180" t="s">
        <v>1288</v>
      </c>
      <c r="B121" s="179" t="s">
        <v>1289</v>
      </c>
    </row>
    <row r="122" spans="1:2">
      <c r="A122" s="180" t="s">
        <v>1290</v>
      </c>
      <c r="B122" s="179" t="s">
        <v>1291</v>
      </c>
    </row>
    <row r="123" spans="1:2">
      <c r="A123" s="180" t="s">
        <v>1292</v>
      </c>
      <c r="B123" s="179" t="s">
        <v>1293</v>
      </c>
    </row>
    <row r="124" spans="1:2">
      <c r="A124" s="180" t="s">
        <v>1294</v>
      </c>
      <c r="B124" s="179" t="s">
        <v>1295</v>
      </c>
    </row>
    <row r="125" spans="1:2">
      <c r="A125" s="180" t="s">
        <v>1296</v>
      </c>
      <c r="B125" s="179" t="s">
        <v>1297</v>
      </c>
    </row>
    <row r="126" spans="1:2">
      <c r="A126" s="180" t="s">
        <v>1298</v>
      </c>
      <c r="B126" s="179" t="s">
        <v>1299</v>
      </c>
    </row>
    <row r="127" spans="1:2">
      <c r="A127" s="180" t="s">
        <v>1300</v>
      </c>
      <c r="B127" s="179" t="s">
        <v>1301</v>
      </c>
    </row>
    <row r="128" spans="1:2">
      <c r="A128" s="180" t="s">
        <v>1302</v>
      </c>
      <c r="B128" s="179" t="s">
        <v>1303</v>
      </c>
    </row>
    <row r="129" spans="1:2">
      <c r="A129" s="180" t="s">
        <v>1304</v>
      </c>
      <c r="B129" s="179" t="s">
        <v>1305</v>
      </c>
    </row>
    <row r="130" spans="1:2">
      <c r="A130" s="180" t="s">
        <v>1306</v>
      </c>
      <c r="B130" s="179" t="s">
        <v>1307</v>
      </c>
    </row>
    <row r="131" spans="1:2">
      <c r="A131" s="180" t="s">
        <v>1308</v>
      </c>
      <c r="B131" s="179" t="s">
        <v>1309</v>
      </c>
    </row>
    <row r="132" spans="1:2">
      <c r="A132" s="180" t="s">
        <v>1310</v>
      </c>
      <c r="B132" s="179" t="s">
        <v>1311</v>
      </c>
    </row>
    <row r="133" spans="1:2">
      <c r="A133" s="180" t="s">
        <v>1312</v>
      </c>
      <c r="B133" s="179" t="s">
        <v>1313</v>
      </c>
    </row>
    <row r="134" spans="1:2">
      <c r="A134" s="180" t="s">
        <v>1314</v>
      </c>
      <c r="B134" s="179" t="s">
        <v>1315</v>
      </c>
    </row>
    <row r="135" spans="1:2">
      <c r="A135" s="180" t="s">
        <v>1316</v>
      </c>
      <c r="B135" s="179" t="s">
        <v>1317</v>
      </c>
    </row>
    <row r="136" spans="1:2">
      <c r="A136" s="180" t="s">
        <v>1318</v>
      </c>
      <c r="B136" s="179" t="s">
        <v>1319</v>
      </c>
    </row>
    <row r="137" spans="1:2">
      <c r="A137" s="180" t="s">
        <v>1320</v>
      </c>
      <c r="B137" s="179" t="s">
        <v>1321</v>
      </c>
    </row>
    <row r="138" spans="1:2">
      <c r="A138" s="180" t="s">
        <v>1322</v>
      </c>
      <c r="B138" s="179" t="s">
        <v>1323</v>
      </c>
    </row>
    <row r="139" spans="1:2">
      <c r="A139" s="180" t="s">
        <v>1324</v>
      </c>
      <c r="B139" s="179" t="s">
        <v>1325</v>
      </c>
    </row>
    <row r="140" spans="1:2">
      <c r="A140" s="180" t="s">
        <v>1326</v>
      </c>
      <c r="B140" s="179" t="s">
        <v>1327</v>
      </c>
    </row>
    <row r="141" spans="1:2">
      <c r="A141" s="180" t="s">
        <v>1328</v>
      </c>
      <c r="B141" s="179" t="s">
        <v>1329</v>
      </c>
    </row>
    <row r="142" spans="1:2">
      <c r="A142" s="180" t="s">
        <v>1330</v>
      </c>
      <c r="B142" s="179" t="s">
        <v>1331</v>
      </c>
    </row>
    <row r="143" spans="1:2">
      <c r="A143" s="180" t="s">
        <v>1332</v>
      </c>
      <c r="B143" s="179" t="s">
        <v>1333</v>
      </c>
    </row>
    <row r="144" spans="1:2">
      <c r="A144" s="180" t="s">
        <v>1334</v>
      </c>
      <c r="B144" s="179" t="s">
        <v>1335</v>
      </c>
    </row>
    <row r="145" spans="1:2">
      <c r="A145" s="180" t="s">
        <v>1336</v>
      </c>
      <c r="B145" s="179" t="s">
        <v>1337</v>
      </c>
    </row>
    <row r="146" spans="1:2">
      <c r="A146" s="180" t="s">
        <v>1338</v>
      </c>
      <c r="B146" s="179" t="s">
        <v>1339</v>
      </c>
    </row>
    <row r="147" spans="1:2">
      <c r="A147" s="180" t="s">
        <v>2071</v>
      </c>
      <c r="B147" s="179" t="s">
        <v>2072</v>
      </c>
    </row>
    <row r="148" spans="1:2">
      <c r="A148" s="180" t="s">
        <v>2073</v>
      </c>
      <c r="B148" s="179" t="s">
        <v>2074</v>
      </c>
    </row>
    <row r="149" spans="1:2">
      <c r="A149" s="180" t="s">
        <v>2075</v>
      </c>
      <c r="B149" s="179" t="s">
        <v>2076</v>
      </c>
    </row>
    <row r="150" spans="1:2">
      <c r="A150" s="180" t="s">
        <v>2077</v>
      </c>
      <c r="B150" s="179" t="s">
        <v>2078</v>
      </c>
    </row>
    <row r="151" spans="1:2">
      <c r="A151" s="180" t="s">
        <v>2079</v>
      </c>
      <c r="B151" s="179" t="s">
        <v>2080</v>
      </c>
    </row>
    <row r="152" spans="1:2">
      <c r="A152" s="180" t="s">
        <v>2081</v>
      </c>
      <c r="B152" s="179" t="s">
        <v>2082</v>
      </c>
    </row>
    <row r="153" spans="1:2">
      <c r="A153" s="180" t="s">
        <v>2083</v>
      </c>
      <c r="B153" s="179" t="s">
        <v>2084</v>
      </c>
    </row>
    <row r="154" spans="1:2">
      <c r="A154" s="180" t="s">
        <v>2085</v>
      </c>
      <c r="B154" s="179" t="s">
        <v>2086</v>
      </c>
    </row>
    <row r="155" spans="1:2">
      <c r="A155" s="180" t="s">
        <v>2087</v>
      </c>
      <c r="B155" s="179" t="s">
        <v>2088</v>
      </c>
    </row>
    <row r="156" spans="1:2">
      <c r="A156" s="180" t="s">
        <v>2089</v>
      </c>
      <c r="B156" s="179" t="s">
        <v>2090</v>
      </c>
    </row>
    <row r="157" spans="1:2">
      <c r="A157" s="180" t="s">
        <v>2091</v>
      </c>
      <c r="B157" s="179" t="s">
        <v>2034</v>
      </c>
    </row>
    <row r="158" spans="1:2">
      <c r="A158" s="180" t="s">
        <v>2092</v>
      </c>
      <c r="B158" s="179" t="s">
        <v>2093</v>
      </c>
    </row>
    <row r="159" spans="1:2">
      <c r="A159" s="180" t="s">
        <v>2094</v>
      </c>
      <c r="B159" s="179" t="s">
        <v>2095</v>
      </c>
    </row>
    <row r="160" spans="1:2">
      <c r="A160" s="180" t="s">
        <v>2096</v>
      </c>
      <c r="B160" s="179" t="s">
        <v>2097</v>
      </c>
    </row>
    <row r="161" spans="1:2">
      <c r="A161" s="180" t="s">
        <v>2098</v>
      </c>
      <c r="B161" s="179" t="s">
        <v>2099</v>
      </c>
    </row>
    <row r="162" spans="1:2">
      <c r="A162" s="180" t="s">
        <v>2100</v>
      </c>
      <c r="B162" s="179" t="s">
        <v>2101</v>
      </c>
    </row>
    <row r="163" spans="1:2">
      <c r="A163" s="180" t="s">
        <v>2102</v>
      </c>
      <c r="B163" s="179" t="s">
        <v>2103</v>
      </c>
    </row>
    <row r="164" spans="1:2">
      <c r="A164" s="180" t="s">
        <v>2104</v>
      </c>
      <c r="B164" s="179" t="s">
        <v>2105</v>
      </c>
    </row>
    <row r="165" spans="1:2">
      <c r="A165" s="180" t="s">
        <v>2106</v>
      </c>
      <c r="B165" s="179" t="s">
        <v>2107</v>
      </c>
    </row>
    <row r="166" spans="1:2">
      <c r="A166" s="180" t="s">
        <v>2108</v>
      </c>
      <c r="B166" s="179" t="s">
        <v>2109</v>
      </c>
    </row>
    <row r="167" spans="1:2">
      <c r="A167" s="180" t="s">
        <v>2110</v>
      </c>
      <c r="B167" s="179" t="s">
        <v>2111</v>
      </c>
    </row>
    <row r="168" spans="1:2">
      <c r="A168" s="180" t="s">
        <v>2112</v>
      </c>
      <c r="B168" s="179" t="s">
        <v>2113</v>
      </c>
    </row>
    <row r="169" spans="1:2">
      <c r="A169" s="180" t="s">
        <v>2114</v>
      </c>
      <c r="B169" s="179" t="s">
        <v>2115</v>
      </c>
    </row>
    <row r="170" spans="1:2">
      <c r="A170" s="180" t="s">
        <v>2116</v>
      </c>
      <c r="B170" s="179" t="s">
        <v>2117</v>
      </c>
    </row>
    <row r="171" spans="1:2">
      <c r="A171" s="180" t="s">
        <v>2118</v>
      </c>
      <c r="B171" s="179" t="s">
        <v>2119</v>
      </c>
    </row>
    <row r="172" spans="1:2">
      <c r="A172" s="180" t="s">
        <v>2120</v>
      </c>
      <c r="B172" s="179" t="s">
        <v>2121</v>
      </c>
    </row>
    <row r="173" spans="1:2">
      <c r="A173" s="180" t="s">
        <v>2122</v>
      </c>
      <c r="B173" s="179" t="s">
        <v>2123</v>
      </c>
    </row>
    <row r="174" spans="1:2">
      <c r="A174" s="180" t="s">
        <v>2124</v>
      </c>
      <c r="B174" s="179" t="s">
        <v>2125</v>
      </c>
    </row>
    <row r="175" spans="1:2">
      <c r="A175" s="180" t="s">
        <v>2126</v>
      </c>
      <c r="B175" s="179" t="s">
        <v>2127</v>
      </c>
    </row>
    <row r="176" spans="1:2">
      <c r="A176" s="180" t="s">
        <v>2128</v>
      </c>
      <c r="B176" s="179" t="s">
        <v>2129</v>
      </c>
    </row>
    <row r="177" spans="1:2">
      <c r="A177" s="180" t="s">
        <v>2130</v>
      </c>
      <c r="B177" s="179" t="s">
        <v>2131</v>
      </c>
    </row>
    <row r="178" spans="1:2">
      <c r="A178" s="180" t="s">
        <v>2132</v>
      </c>
      <c r="B178" s="179" t="s">
        <v>2133</v>
      </c>
    </row>
    <row r="179" spans="1:2">
      <c r="A179" s="180" t="s">
        <v>2134</v>
      </c>
      <c r="B179" s="179" t="s">
        <v>2135</v>
      </c>
    </row>
    <row r="180" spans="1:2">
      <c r="A180" s="180" t="s">
        <v>2136</v>
      </c>
      <c r="B180" s="179" t="s">
        <v>2137</v>
      </c>
    </row>
    <row r="181" spans="1:2">
      <c r="A181" s="180" t="s">
        <v>2138</v>
      </c>
      <c r="B181" s="179" t="s">
        <v>2139</v>
      </c>
    </row>
    <row r="182" spans="1:2">
      <c r="A182" s="180" t="s">
        <v>2140</v>
      </c>
      <c r="B182" s="179" t="s">
        <v>2141</v>
      </c>
    </row>
    <row r="183" spans="1:2">
      <c r="A183" s="180" t="s">
        <v>2142</v>
      </c>
      <c r="B183" s="179" t="s">
        <v>2143</v>
      </c>
    </row>
    <row r="184" spans="1:2">
      <c r="A184" s="180" t="s">
        <v>2144</v>
      </c>
      <c r="B184" s="179" t="s">
        <v>2145</v>
      </c>
    </row>
    <row r="185" spans="1:2">
      <c r="A185" s="180" t="s">
        <v>2146</v>
      </c>
      <c r="B185" s="179" t="s">
        <v>2147</v>
      </c>
    </row>
    <row r="186" spans="1:2">
      <c r="A186" s="180" t="s">
        <v>2148</v>
      </c>
      <c r="B186" s="179" t="s">
        <v>2149</v>
      </c>
    </row>
    <row r="187" spans="1:2">
      <c r="A187" s="180" t="s">
        <v>2150</v>
      </c>
      <c r="B187" s="179" t="s">
        <v>2151</v>
      </c>
    </row>
    <row r="188" spans="1:2">
      <c r="A188" s="180" t="s">
        <v>2152</v>
      </c>
      <c r="B188" s="179" t="s">
        <v>2153</v>
      </c>
    </row>
    <row r="189" spans="1:2">
      <c r="A189" s="180" t="s">
        <v>2154</v>
      </c>
      <c r="B189" s="179" t="s">
        <v>2155</v>
      </c>
    </row>
    <row r="190" spans="1:2">
      <c r="A190" s="180" t="s">
        <v>2156</v>
      </c>
      <c r="B190" s="179" t="s">
        <v>2157</v>
      </c>
    </row>
    <row r="191" spans="1:2">
      <c r="A191" s="180" t="s">
        <v>2158</v>
      </c>
      <c r="B191" s="179" t="s">
        <v>2159</v>
      </c>
    </row>
    <row r="192" spans="1:2">
      <c r="A192" s="180" t="s">
        <v>2160</v>
      </c>
      <c r="B192" s="179" t="s">
        <v>2161</v>
      </c>
    </row>
    <row r="193" spans="1:2">
      <c r="A193" s="180" t="s">
        <v>2162</v>
      </c>
      <c r="B193" s="179" t="s">
        <v>2163</v>
      </c>
    </row>
    <row r="194" spans="1:2">
      <c r="A194" s="180" t="s">
        <v>2164</v>
      </c>
      <c r="B194" s="179" t="s">
        <v>2165</v>
      </c>
    </row>
    <row r="195" spans="1:2">
      <c r="A195" s="180" t="s">
        <v>2166</v>
      </c>
      <c r="B195" s="179" t="s">
        <v>2167</v>
      </c>
    </row>
    <row r="196" spans="1:2">
      <c r="A196" s="180" t="s">
        <v>2168</v>
      </c>
      <c r="B196" s="179" t="s">
        <v>2169</v>
      </c>
    </row>
    <row r="197" spans="1:2">
      <c r="A197" s="180" t="s">
        <v>2170</v>
      </c>
      <c r="B197" s="179" t="s">
        <v>2171</v>
      </c>
    </row>
    <row r="198" spans="1:2">
      <c r="A198" s="180" t="s">
        <v>2172</v>
      </c>
      <c r="B198" s="179" t="s">
        <v>2173</v>
      </c>
    </row>
    <row r="199" spans="1:2">
      <c r="A199" s="180" t="s">
        <v>2174</v>
      </c>
      <c r="B199" s="179" t="s">
        <v>2175</v>
      </c>
    </row>
    <row r="200" spans="1:2">
      <c r="A200" s="180" t="s">
        <v>2176</v>
      </c>
      <c r="B200" s="179" t="s">
        <v>2177</v>
      </c>
    </row>
    <row r="201" spans="1:2">
      <c r="A201" s="180" t="s">
        <v>3062</v>
      </c>
      <c r="B201" s="179" t="s">
        <v>3063</v>
      </c>
    </row>
    <row r="202" spans="1:2">
      <c r="A202" s="180" t="s">
        <v>3064</v>
      </c>
      <c r="B202" s="179" t="s">
        <v>3065</v>
      </c>
    </row>
    <row r="203" spans="1:2">
      <c r="A203" s="180" t="s">
        <v>3066</v>
      </c>
      <c r="B203" s="179" t="s">
        <v>3067</v>
      </c>
    </row>
    <row r="204" spans="1:2">
      <c r="A204" s="180" t="s">
        <v>3068</v>
      </c>
      <c r="B204" s="179" t="s">
        <v>3069</v>
      </c>
    </row>
    <row r="205" spans="1:2">
      <c r="A205" s="180" t="s">
        <v>3070</v>
      </c>
      <c r="B205" s="179" t="s">
        <v>3071</v>
      </c>
    </row>
    <row r="206" spans="1:2">
      <c r="A206" s="180" t="s">
        <v>3072</v>
      </c>
      <c r="B206" s="179" t="s">
        <v>3073</v>
      </c>
    </row>
    <row r="207" spans="1:2">
      <c r="A207" s="180" t="s">
        <v>3074</v>
      </c>
      <c r="B207" s="179" t="s">
        <v>2518</v>
      </c>
    </row>
    <row r="208" spans="1:2">
      <c r="A208" s="180" t="s">
        <v>3075</v>
      </c>
      <c r="B208" s="179" t="s">
        <v>3076</v>
      </c>
    </row>
    <row r="209" spans="1:2">
      <c r="A209" s="180" t="s">
        <v>3077</v>
      </c>
      <c r="B209" s="179" t="s">
        <v>3078</v>
      </c>
    </row>
    <row r="210" spans="1:2">
      <c r="A210" s="180" t="s">
        <v>3079</v>
      </c>
      <c r="B210" s="179" t="s">
        <v>3080</v>
      </c>
    </row>
    <row r="211" spans="1:2">
      <c r="A211" s="180" t="s">
        <v>3081</v>
      </c>
      <c r="B211" s="179" t="s">
        <v>3082</v>
      </c>
    </row>
    <row r="212" spans="1:2">
      <c r="A212" s="180" t="s">
        <v>3083</v>
      </c>
      <c r="B212" s="179" t="s">
        <v>3084</v>
      </c>
    </row>
    <row r="213" spans="1:2">
      <c r="A213" s="180" t="s">
        <v>3085</v>
      </c>
      <c r="B213" s="179" t="s">
        <v>3086</v>
      </c>
    </row>
    <row r="214" spans="1:2">
      <c r="A214" s="180" t="s">
        <v>3087</v>
      </c>
      <c r="B214" s="179" t="s">
        <v>3088</v>
      </c>
    </row>
    <row r="215" spans="1:2">
      <c r="A215" s="180" t="s">
        <v>3089</v>
      </c>
      <c r="B215" s="179" t="s">
        <v>3090</v>
      </c>
    </row>
    <row r="216" spans="1:2">
      <c r="A216" s="180" t="s">
        <v>3091</v>
      </c>
      <c r="B216" s="179" t="s">
        <v>3092</v>
      </c>
    </row>
    <row r="217" spans="1:2">
      <c r="A217" s="180" t="s">
        <v>3093</v>
      </c>
      <c r="B217" s="179" t="s">
        <v>3094</v>
      </c>
    </row>
    <row r="218" spans="1:2">
      <c r="A218" s="180" t="s">
        <v>3095</v>
      </c>
      <c r="B218" s="179" t="s">
        <v>3096</v>
      </c>
    </row>
    <row r="219" spans="1:2">
      <c r="A219" s="180" t="s">
        <v>3097</v>
      </c>
      <c r="B219" s="179" t="s">
        <v>3098</v>
      </c>
    </row>
    <row r="220" spans="1:2">
      <c r="A220" s="180" t="s">
        <v>3099</v>
      </c>
      <c r="B220" s="179" t="s">
        <v>3100</v>
      </c>
    </row>
    <row r="221" spans="1:2">
      <c r="A221" s="175" t="s">
        <v>1913</v>
      </c>
      <c r="B221" s="176" t="s">
        <v>1914</v>
      </c>
    </row>
    <row r="222" spans="1:2">
      <c r="A222" s="180" t="s">
        <v>3101</v>
      </c>
      <c r="B222" s="179" t="s">
        <v>3102</v>
      </c>
    </row>
    <row r="223" spans="1:2">
      <c r="A223" s="180" t="s">
        <v>2178</v>
      </c>
      <c r="B223" s="179" t="s">
        <v>2179</v>
      </c>
    </row>
    <row r="224" spans="1:2">
      <c r="A224" s="180" t="s">
        <v>2180</v>
      </c>
      <c r="B224" s="179" t="s">
        <v>2181</v>
      </c>
    </row>
    <row r="225" spans="1:2">
      <c r="A225" s="180" t="s">
        <v>2182</v>
      </c>
      <c r="B225" s="179" t="s">
        <v>2183</v>
      </c>
    </row>
    <row r="226" spans="1:2">
      <c r="A226" s="180" t="s">
        <v>2184</v>
      </c>
      <c r="B226" s="179" t="s">
        <v>2185</v>
      </c>
    </row>
    <row r="227" spans="1:2">
      <c r="A227" s="180" t="s">
        <v>2186</v>
      </c>
      <c r="B227" s="179" t="s">
        <v>2187</v>
      </c>
    </row>
    <row r="228" spans="1:2">
      <c r="A228" s="180" t="s">
        <v>2188</v>
      </c>
      <c r="B228" s="179" t="s">
        <v>2189</v>
      </c>
    </row>
    <row r="229" spans="1:2">
      <c r="A229" s="180" t="s">
        <v>2190</v>
      </c>
      <c r="B229" s="179" t="s">
        <v>2191</v>
      </c>
    </row>
    <row r="230" spans="1:2">
      <c r="A230" s="180" t="s">
        <v>2192</v>
      </c>
      <c r="B230" s="179" t="s">
        <v>2193</v>
      </c>
    </row>
    <row r="231" spans="1:2">
      <c r="A231" s="180" t="s">
        <v>2194</v>
      </c>
      <c r="B231" s="179" t="s">
        <v>2195</v>
      </c>
    </row>
    <row r="232" spans="1:2">
      <c r="A232" s="180" t="s">
        <v>2196</v>
      </c>
      <c r="B232" s="179" t="s">
        <v>2197</v>
      </c>
    </row>
    <row r="233" spans="1:2">
      <c r="A233" s="180" t="s">
        <v>2198</v>
      </c>
      <c r="B233" s="179" t="s">
        <v>2199</v>
      </c>
    </row>
    <row r="234" spans="1:2">
      <c r="A234" s="180" t="s">
        <v>2200</v>
      </c>
      <c r="B234" s="179" t="s">
        <v>2201</v>
      </c>
    </row>
    <row r="235" spans="1:2">
      <c r="A235" s="180" t="s">
        <v>2202</v>
      </c>
      <c r="B235" s="179" t="s">
        <v>2203</v>
      </c>
    </row>
    <row r="236" spans="1:2">
      <c r="A236" s="180" t="s">
        <v>2204</v>
      </c>
      <c r="B236" s="179" t="s">
        <v>2205</v>
      </c>
    </row>
    <row r="237" spans="1:2">
      <c r="A237" s="180" t="s">
        <v>3103</v>
      </c>
      <c r="B237" s="179" t="s">
        <v>3104</v>
      </c>
    </row>
    <row r="238" spans="1:2">
      <c r="A238" s="180" t="s">
        <v>3105</v>
      </c>
      <c r="B238" s="179" t="s">
        <v>3106</v>
      </c>
    </row>
    <row r="239" spans="1:2">
      <c r="A239" s="180" t="s">
        <v>3107</v>
      </c>
      <c r="B239" s="179" t="s">
        <v>3108</v>
      </c>
    </row>
    <row r="240" spans="1:2">
      <c r="A240" s="175" t="s">
        <v>124</v>
      </c>
      <c r="B240" s="176" t="s">
        <v>1742</v>
      </c>
    </row>
    <row r="241" spans="1:2">
      <c r="A241" s="180" t="s">
        <v>3109</v>
      </c>
      <c r="B241" s="179" t="s">
        <v>3110</v>
      </c>
    </row>
    <row r="242" spans="1:2">
      <c r="A242" s="180" t="s">
        <v>738</v>
      </c>
      <c r="B242" s="179" t="s">
        <v>739</v>
      </c>
    </row>
    <row r="243" spans="1:2">
      <c r="A243" s="180" t="s">
        <v>740</v>
      </c>
      <c r="B243" s="179" t="s">
        <v>741</v>
      </c>
    </row>
    <row r="244" spans="1:2">
      <c r="A244" s="180" t="s">
        <v>742</v>
      </c>
      <c r="B244" s="179" t="s">
        <v>743</v>
      </c>
    </row>
    <row r="245" spans="1:2">
      <c r="A245" s="180" t="s">
        <v>744</v>
      </c>
      <c r="B245" s="179" t="s">
        <v>745</v>
      </c>
    </row>
    <row r="246" spans="1:2">
      <c r="A246" s="180" t="s">
        <v>746</v>
      </c>
      <c r="B246" s="179" t="s">
        <v>747</v>
      </c>
    </row>
    <row r="247" spans="1:2">
      <c r="A247" s="180" t="s">
        <v>748</v>
      </c>
      <c r="B247" s="179" t="s">
        <v>749</v>
      </c>
    </row>
    <row r="248" spans="1:2">
      <c r="A248" s="180" t="s">
        <v>750</v>
      </c>
      <c r="B248" s="179" t="s">
        <v>751</v>
      </c>
    </row>
    <row r="249" spans="1:2">
      <c r="A249" s="180" t="s">
        <v>1340</v>
      </c>
      <c r="B249" s="179" t="s">
        <v>1341</v>
      </c>
    </row>
    <row r="250" spans="1:2">
      <c r="A250" s="180" t="s">
        <v>1342</v>
      </c>
      <c r="B250" s="179" t="s">
        <v>1343</v>
      </c>
    </row>
    <row r="251" spans="1:2">
      <c r="A251" s="180" t="s">
        <v>1344</v>
      </c>
      <c r="B251" s="179" t="s">
        <v>1345</v>
      </c>
    </row>
    <row r="252" spans="1:2">
      <c r="A252" s="180" t="s">
        <v>1346</v>
      </c>
      <c r="B252" s="179" t="s">
        <v>1347</v>
      </c>
    </row>
    <row r="253" spans="1:2">
      <c r="A253" s="180" t="s">
        <v>1348</v>
      </c>
      <c r="B253" s="179" t="s">
        <v>1349</v>
      </c>
    </row>
    <row r="254" spans="1:2">
      <c r="A254" s="180" t="s">
        <v>2206</v>
      </c>
      <c r="B254" s="179" t="s">
        <v>2207</v>
      </c>
    </row>
    <row r="255" spans="1:2">
      <c r="A255" s="180" t="s">
        <v>2208</v>
      </c>
      <c r="B255" s="179" t="s">
        <v>2209</v>
      </c>
    </row>
    <row r="256" spans="1:2">
      <c r="A256" s="180" t="s">
        <v>2210</v>
      </c>
      <c r="B256" s="179" t="s">
        <v>2211</v>
      </c>
    </row>
    <row r="257" spans="1:2">
      <c r="A257" s="180" t="s">
        <v>2212</v>
      </c>
      <c r="B257" s="179" t="s">
        <v>2213</v>
      </c>
    </row>
    <row r="258" spans="1:2">
      <c r="A258" s="180" t="s">
        <v>2214</v>
      </c>
      <c r="B258" s="179" t="s">
        <v>2215</v>
      </c>
    </row>
    <row r="259" spans="1:2">
      <c r="A259" s="180" t="s">
        <v>2216</v>
      </c>
      <c r="B259" s="179" t="s">
        <v>2217</v>
      </c>
    </row>
    <row r="260" spans="1:2">
      <c r="A260" s="180" t="s">
        <v>2218</v>
      </c>
      <c r="B260" s="179" t="s">
        <v>2219</v>
      </c>
    </row>
    <row r="261" spans="1:2">
      <c r="A261" s="180" t="s">
        <v>2220</v>
      </c>
      <c r="B261" s="179" t="s">
        <v>2221</v>
      </c>
    </row>
    <row r="262" spans="1:2">
      <c r="A262" s="175" t="s">
        <v>130</v>
      </c>
      <c r="B262" s="176" t="s">
        <v>1743</v>
      </c>
    </row>
    <row r="263" spans="1:2">
      <c r="A263" s="180" t="s">
        <v>3111</v>
      </c>
      <c r="B263" s="179" t="s">
        <v>3112</v>
      </c>
    </row>
    <row r="264" spans="1:2">
      <c r="A264" s="180" t="s">
        <v>3113</v>
      </c>
      <c r="B264" s="179" t="s">
        <v>3114</v>
      </c>
    </row>
    <row r="265" spans="1:2">
      <c r="A265" s="180" t="s">
        <v>3115</v>
      </c>
      <c r="B265" s="179" t="s">
        <v>3116</v>
      </c>
    </row>
    <row r="266" spans="1:2">
      <c r="A266" s="180" t="s">
        <v>3117</v>
      </c>
      <c r="B266" s="179" t="s">
        <v>3118</v>
      </c>
    </row>
    <row r="267" spans="1:2">
      <c r="A267" s="180" t="s">
        <v>3119</v>
      </c>
      <c r="B267" s="179" t="s">
        <v>3120</v>
      </c>
    </row>
    <row r="268" spans="1:2">
      <c r="A268" s="180" t="s">
        <v>3121</v>
      </c>
      <c r="B268" s="179" t="s">
        <v>3122</v>
      </c>
    </row>
    <row r="269" spans="1:2">
      <c r="A269" s="180" t="s">
        <v>752</v>
      </c>
      <c r="B269" s="179" t="s">
        <v>753</v>
      </c>
    </row>
    <row r="270" spans="1:2">
      <c r="A270" s="180" t="s">
        <v>754</v>
      </c>
      <c r="B270" s="179" t="s">
        <v>755</v>
      </c>
    </row>
    <row r="271" spans="1:2">
      <c r="A271" s="180" t="s">
        <v>1350</v>
      </c>
      <c r="B271" s="179" t="s">
        <v>1351</v>
      </c>
    </row>
    <row r="272" spans="1:2">
      <c r="A272" s="180" t="s">
        <v>1352</v>
      </c>
      <c r="B272" s="179" t="s">
        <v>1353</v>
      </c>
    </row>
    <row r="273" spans="1:2">
      <c r="A273" s="180" t="s">
        <v>2222</v>
      </c>
      <c r="B273" s="179" t="s">
        <v>2223</v>
      </c>
    </row>
    <row r="274" spans="1:2">
      <c r="A274" s="180" t="s">
        <v>2224</v>
      </c>
      <c r="B274" s="179" t="s">
        <v>2225</v>
      </c>
    </row>
    <row r="275" spans="1:2">
      <c r="A275" s="180" t="s">
        <v>2226</v>
      </c>
      <c r="B275" s="179" t="s">
        <v>2227</v>
      </c>
    </row>
    <row r="276" spans="1:2">
      <c r="A276" s="180" t="s">
        <v>2228</v>
      </c>
      <c r="B276" s="179" t="s">
        <v>2229</v>
      </c>
    </row>
    <row r="277" spans="1:2">
      <c r="A277" s="180" t="s">
        <v>2230</v>
      </c>
      <c r="B277" s="179" t="s">
        <v>2231</v>
      </c>
    </row>
    <row r="278" spans="1:2">
      <c r="A278" s="180" t="s">
        <v>3123</v>
      </c>
      <c r="B278" s="179" t="s">
        <v>3124</v>
      </c>
    </row>
    <row r="279" spans="1:2">
      <c r="A279" s="180" t="s">
        <v>3125</v>
      </c>
      <c r="B279" s="179" t="s">
        <v>3126</v>
      </c>
    </row>
    <row r="280" spans="1:2">
      <c r="A280" s="180" t="s">
        <v>3127</v>
      </c>
      <c r="B280" s="179" t="s">
        <v>3128</v>
      </c>
    </row>
    <row r="281" spans="1:2">
      <c r="A281" s="180" t="s">
        <v>3129</v>
      </c>
      <c r="B281" s="179" t="s">
        <v>2231</v>
      </c>
    </row>
    <row r="282" spans="1:2">
      <c r="A282" s="180" t="s">
        <v>3130</v>
      </c>
      <c r="B282" s="179" t="s">
        <v>3131</v>
      </c>
    </row>
    <row r="283" spans="1:2">
      <c r="A283" s="180" t="s">
        <v>3132</v>
      </c>
      <c r="B283" s="179" t="s">
        <v>3133</v>
      </c>
    </row>
    <row r="284" spans="1:2">
      <c r="A284" s="180" t="s">
        <v>3134</v>
      </c>
      <c r="B284" s="179" t="s">
        <v>3135</v>
      </c>
    </row>
    <row r="285" spans="1:2">
      <c r="A285" s="180" t="s">
        <v>3136</v>
      </c>
      <c r="B285" s="179" t="s">
        <v>3137</v>
      </c>
    </row>
    <row r="286" spans="1:2">
      <c r="A286" s="175" t="s">
        <v>132</v>
      </c>
      <c r="B286" s="176" t="s">
        <v>1744</v>
      </c>
    </row>
    <row r="287" spans="1:2">
      <c r="A287" s="180" t="s">
        <v>756</v>
      </c>
      <c r="B287" s="179" t="s">
        <v>757</v>
      </c>
    </row>
    <row r="288" spans="1:2">
      <c r="A288" s="180" t="s">
        <v>758</v>
      </c>
      <c r="B288" s="179" t="s">
        <v>759</v>
      </c>
    </row>
    <row r="289" spans="1:2">
      <c r="A289" s="180" t="s">
        <v>760</v>
      </c>
      <c r="B289" s="179" t="s">
        <v>761</v>
      </c>
    </row>
    <row r="290" spans="1:2">
      <c r="A290" s="180" t="s">
        <v>2232</v>
      </c>
      <c r="B290" s="179" t="s">
        <v>2233</v>
      </c>
    </row>
    <row r="291" spans="1:2">
      <c r="A291" s="180" t="s">
        <v>2234</v>
      </c>
      <c r="B291" s="179" t="s">
        <v>2235</v>
      </c>
    </row>
    <row r="292" spans="1:2">
      <c r="A292" s="180" t="s">
        <v>2236</v>
      </c>
      <c r="B292" s="179" t="s">
        <v>2237</v>
      </c>
    </row>
    <row r="293" spans="1:2">
      <c r="A293" s="180" t="s">
        <v>2238</v>
      </c>
      <c r="B293" s="179" t="s">
        <v>2239</v>
      </c>
    </row>
    <row r="294" spans="1:2">
      <c r="A294" s="180" t="s">
        <v>2240</v>
      </c>
      <c r="B294" s="179" t="s">
        <v>2241</v>
      </c>
    </row>
    <row r="295" spans="1:2">
      <c r="A295" s="180" t="s">
        <v>2242</v>
      </c>
      <c r="B295" s="179" t="s">
        <v>2243</v>
      </c>
    </row>
    <row r="296" spans="1:2">
      <c r="A296" s="180" t="s">
        <v>2244</v>
      </c>
      <c r="B296" s="179" t="s">
        <v>2245</v>
      </c>
    </row>
    <row r="297" spans="1:2">
      <c r="A297" s="180" t="s">
        <v>2246</v>
      </c>
      <c r="B297" s="179" t="s">
        <v>2247</v>
      </c>
    </row>
    <row r="298" spans="1:2">
      <c r="A298" s="180" t="s">
        <v>2248</v>
      </c>
      <c r="B298" s="179" t="s">
        <v>2249</v>
      </c>
    </row>
    <row r="299" spans="1:2">
      <c r="A299" s="180" t="s">
        <v>3138</v>
      </c>
      <c r="B299" s="179" t="s">
        <v>3139</v>
      </c>
    </row>
    <row r="300" spans="1:2">
      <c r="A300" s="180" t="s">
        <v>3140</v>
      </c>
      <c r="B300" s="179" t="s">
        <v>3141</v>
      </c>
    </row>
    <row r="301" spans="1:2">
      <c r="A301" s="180" t="s">
        <v>3142</v>
      </c>
      <c r="B301" s="179" t="s">
        <v>877</v>
      </c>
    </row>
    <row r="302" spans="1:2">
      <c r="A302" s="175" t="s">
        <v>134</v>
      </c>
      <c r="B302" s="176" t="s">
        <v>1915</v>
      </c>
    </row>
    <row r="303" spans="1:2">
      <c r="A303" s="180" t="s">
        <v>762</v>
      </c>
      <c r="B303" s="179" t="s">
        <v>763</v>
      </c>
    </row>
    <row r="304" spans="1:2">
      <c r="A304" s="180" t="s">
        <v>764</v>
      </c>
      <c r="B304" s="179" t="s">
        <v>765</v>
      </c>
    </row>
    <row r="305" spans="1:2">
      <c r="A305" s="180" t="s">
        <v>3143</v>
      </c>
      <c r="B305" s="179" t="s">
        <v>3144</v>
      </c>
    </row>
    <row r="306" spans="1:2">
      <c r="A306" s="180" t="s">
        <v>766</v>
      </c>
      <c r="B306" s="179" t="s">
        <v>767</v>
      </c>
    </row>
    <row r="307" spans="1:2">
      <c r="A307" s="180" t="s">
        <v>768</v>
      </c>
      <c r="B307" s="179" t="s">
        <v>769</v>
      </c>
    </row>
    <row r="308" spans="1:2">
      <c r="A308" s="180" t="s">
        <v>770</v>
      </c>
      <c r="B308" s="179" t="s">
        <v>771</v>
      </c>
    </row>
    <row r="309" spans="1:2">
      <c r="A309" s="180" t="s">
        <v>772</v>
      </c>
      <c r="B309" s="179" t="s">
        <v>773</v>
      </c>
    </row>
    <row r="310" spans="1:2">
      <c r="A310" s="180" t="s">
        <v>774</v>
      </c>
      <c r="B310" s="179" t="s">
        <v>775</v>
      </c>
    </row>
    <row r="311" spans="1:2">
      <c r="A311" s="180" t="s">
        <v>3145</v>
      </c>
      <c r="B311" s="179" t="s">
        <v>3146</v>
      </c>
    </row>
    <row r="312" spans="1:2">
      <c r="A312" s="180" t="s">
        <v>776</v>
      </c>
      <c r="B312" s="179" t="s">
        <v>777</v>
      </c>
    </row>
    <row r="313" spans="1:2">
      <c r="A313" s="180" t="s">
        <v>778</v>
      </c>
      <c r="B313" s="179" t="s">
        <v>779</v>
      </c>
    </row>
    <row r="314" spans="1:2">
      <c r="A314" s="180" t="s">
        <v>780</v>
      </c>
      <c r="B314" s="179" t="s">
        <v>781</v>
      </c>
    </row>
    <row r="315" spans="1:2">
      <c r="A315" s="180" t="s">
        <v>782</v>
      </c>
      <c r="B315" s="179" t="s">
        <v>783</v>
      </c>
    </row>
    <row r="316" spans="1:2">
      <c r="A316" s="180" t="s">
        <v>784</v>
      </c>
      <c r="B316" s="179" t="s">
        <v>785</v>
      </c>
    </row>
    <row r="317" spans="1:2">
      <c r="A317" s="180" t="s">
        <v>786</v>
      </c>
      <c r="B317" s="179" t="s">
        <v>787</v>
      </c>
    </row>
    <row r="318" spans="1:2">
      <c r="A318" s="180" t="s">
        <v>788</v>
      </c>
      <c r="B318" s="179" t="s">
        <v>789</v>
      </c>
    </row>
    <row r="319" spans="1:2">
      <c r="A319" s="180" t="s">
        <v>790</v>
      </c>
      <c r="B319" s="179" t="s">
        <v>791</v>
      </c>
    </row>
    <row r="320" spans="1:2">
      <c r="A320" s="180" t="s">
        <v>792</v>
      </c>
      <c r="B320" s="179" t="s">
        <v>793</v>
      </c>
    </row>
    <row r="321" spans="1:2">
      <c r="A321" s="180" t="s">
        <v>794</v>
      </c>
      <c r="B321" s="179" t="s">
        <v>795</v>
      </c>
    </row>
    <row r="322" spans="1:2">
      <c r="A322" s="180" t="s">
        <v>796</v>
      </c>
      <c r="B322" s="179" t="s">
        <v>797</v>
      </c>
    </row>
    <row r="323" spans="1:2">
      <c r="A323" s="180" t="s">
        <v>798</v>
      </c>
      <c r="B323" s="179" t="s">
        <v>799</v>
      </c>
    </row>
    <row r="324" spans="1:2">
      <c r="A324" s="180" t="s">
        <v>800</v>
      </c>
      <c r="B324" s="179" t="s">
        <v>799</v>
      </c>
    </row>
    <row r="325" spans="1:2">
      <c r="A325" s="180" t="s">
        <v>801</v>
      </c>
      <c r="B325" s="179" t="s">
        <v>802</v>
      </c>
    </row>
    <row r="326" spans="1:2">
      <c r="A326" s="180" t="s">
        <v>803</v>
      </c>
      <c r="B326" s="179" t="s">
        <v>802</v>
      </c>
    </row>
    <row r="327" spans="1:2">
      <c r="A327" s="180" t="s">
        <v>1354</v>
      </c>
      <c r="B327" s="179" t="s">
        <v>1355</v>
      </c>
    </row>
    <row r="328" spans="1:2">
      <c r="A328" s="180" t="s">
        <v>1356</v>
      </c>
      <c r="B328" s="179" t="s">
        <v>1357</v>
      </c>
    </row>
    <row r="329" spans="1:2">
      <c r="A329" s="180" t="s">
        <v>1358</v>
      </c>
      <c r="B329" s="179" t="s">
        <v>1359</v>
      </c>
    </row>
    <row r="330" spans="1:2">
      <c r="A330" s="180" t="s">
        <v>1360</v>
      </c>
      <c r="B330" s="179" t="s">
        <v>1361</v>
      </c>
    </row>
    <row r="331" spans="1:2">
      <c r="A331" s="180" t="s">
        <v>1362</v>
      </c>
      <c r="B331" s="179" t="s">
        <v>1363</v>
      </c>
    </row>
    <row r="332" spans="1:2">
      <c r="A332" s="180" t="s">
        <v>1364</v>
      </c>
      <c r="B332" s="179" t="s">
        <v>1365</v>
      </c>
    </row>
    <row r="333" spans="1:2">
      <c r="A333" s="180" t="s">
        <v>1366</v>
      </c>
      <c r="B333" s="179" t="s">
        <v>1367</v>
      </c>
    </row>
    <row r="334" spans="1:2">
      <c r="A334" s="180" t="s">
        <v>1368</v>
      </c>
      <c r="B334" s="179" t="s">
        <v>1369</v>
      </c>
    </row>
    <row r="335" spans="1:2">
      <c r="A335" s="180" t="s">
        <v>1370</v>
      </c>
      <c r="B335" s="179" t="s">
        <v>1371</v>
      </c>
    </row>
    <row r="336" spans="1:2">
      <c r="A336" s="180" t="s">
        <v>1372</v>
      </c>
      <c r="B336" s="179" t="s">
        <v>1373</v>
      </c>
    </row>
    <row r="337" spans="1:2">
      <c r="A337" s="180" t="s">
        <v>1374</v>
      </c>
      <c r="B337" s="179" t="s">
        <v>1375</v>
      </c>
    </row>
    <row r="338" spans="1:2">
      <c r="A338" s="180" t="s">
        <v>1376</v>
      </c>
      <c r="B338" s="179" t="s">
        <v>1377</v>
      </c>
    </row>
    <row r="339" spans="1:2">
      <c r="A339" s="180" t="s">
        <v>1378</v>
      </c>
      <c r="B339" s="179" t="s">
        <v>1379</v>
      </c>
    </row>
    <row r="340" spans="1:2">
      <c r="A340" s="180" t="s">
        <v>1380</v>
      </c>
      <c r="B340" s="179" t="s">
        <v>1381</v>
      </c>
    </row>
    <row r="341" spans="1:2">
      <c r="A341" s="180" t="s">
        <v>1382</v>
      </c>
      <c r="B341" s="179" t="s">
        <v>1383</v>
      </c>
    </row>
    <row r="342" spans="1:2">
      <c r="A342" s="180" t="s">
        <v>1384</v>
      </c>
      <c r="B342" s="179" t="s">
        <v>1385</v>
      </c>
    </row>
    <row r="343" spans="1:2">
      <c r="A343" s="180" t="s">
        <v>1386</v>
      </c>
      <c r="B343" s="179" t="s">
        <v>1387</v>
      </c>
    </row>
    <row r="344" spans="1:2">
      <c r="A344" s="180" t="s">
        <v>1388</v>
      </c>
      <c r="B344" s="179" t="s">
        <v>1389</v>
      </c>
    </row>
    <row r="345" spans="1:2">
      <c r="A345" s="180" t="s">
        <v>1390</v>
      </c>
      <c r="B345" s="179" t="s">
        <v>1391</v>
      </c>
    </row>
    <row r="346" spans="1:2">
      <c r="A346" s="180" t="s">
        <v>1392</v>
      </c>
      <c r="B346" s="179" t="s">
        <v>1393</v>
      </c>
    </row>
    <row r="347" spans="1:2">
      <c r="A347" s="180" t="s">
        <v>1394</v>
      </c>
      <c r="B347" s="179" t="s">
        <v>1395</v>
      </c>
    </row>
    <row r="348" spans="1:2">
      <c r="A348" s="180" t="s">
        <v>1396</v>
      </c>
      <c r="B348" s="179" t="s">
        <v>1397</v>
      </c>
    </row>
    <row r="349" spans="1:2">
      <c r="A349" s="180" t="s">
        <v>1398</v>
      </c>
      <c r="B349" s="179" t="s">
        <v>1399</v>
      </c>
    </row>
    <row r="350" spans="1:2">
      <c r="A350" s="180" t="s">
        <v>1400</v>
      </c>
      <c r="B350" s="179" t="s">
        <v>1401</v>
      </c>
    </row>
    <row r="351" spans="1:2">
      <c r="A351" s="180" t="s">
        <v>1402</v>
      </c>
      <c r="B351" s="179" t="s">
        <v>1403</v>
      </c>
    </row>
    <row r="352" spans="1:2">
      <c r="A352" s="180" t="s">
        <v>1404</v>
      </c>
      <c r="B352" s="179" t="s">
        <v>1405</v>
      </c>
    </row>
    <row r="353" spans="1:2">
      <c r="A353" s="180" t="s">
        <v>1406</v>
      </c>
      <c r="B353" s="179" t="s">
        <v>1407</v>
      </c>
    </row>
    <row r="354" spans="1:2">
      <c r="A354" s="180" t="s">
        <v>1408</v>
      </c>
      <c r="B354" s="179" t="s">
        <v>1409</v>
      </c>
    </row>
    <row r="355" spans="1:2">
      <c r="A355" s="180" t="s">
        <v>1410</v>
      </c>
      <c r="B355" s="179" t="s">
        <v>1411</v>
      </c>
    </row>
    <row r="356" spans="1:2">
      <c r="A356" s="180" t="s">
        <v>1412</v>
      </c>
      <c r="B356" s="179" t="s">
        <v>1413</v>
      </c>
    </row>
    <row r="357" spans="1:2">
      <c r="A357" s="180" t="s">
        <v>1414</v>
      </c>
      <c r="B357" s="179" t="s">
        <v>1415</v>
      </c>
    </row>
    <row r="358" spans="1:2">
      <c r="A358" s="180" t="s">
        <v>2250</v>
      </c>
      <c r="B358" s="179" t="s">
        <v>2251</v>
      </c>
    </row>
    <row r="359" spans="1:2">
      <c r="A359" s="180" t="s">
        <v>2252</v>
      </c>
      <c r="B359" s="179" t="s">
        <v>2253</v>
      </c>
    </row>
    <row r="360" spans="1:2">
      <c r="A360" s="180" t="s">
        <v>2254</v>
      </c>
      <c r="B360" s="179" t="s">
        <v>2255</v>
      </c>
    </row>
    <row r="361" spans="1:2">
      <c r="A361" s="180" t="s">
        <v>2256</v>
      </c>
      <c r="B361" s="179" t="s">
        <v>2257</v>
      </c>
    </row>
    <row r="362" spans="1:2">
      <c r="A362" s="180" t="s">
        <v>2258</v>
      </c>
      <c r="B362" s="179" t="s">
        <v>2259</v>
      </c>
    </row>
    <row r="363" spans="1:2">
      <c r="A363" s="180" t="s">
        <v>2260</v>
      </c>
      <c r="B363" s="179" t="s">
        <v>2261</v>
      </c>
    </row>
    <row r="364" spans="1:2">
      <c r="A364" s="180" t="s">
        <v>2262</v>
      </c>
      <c r="B364" s="179" t="s">
        <v>2263</v>
      </c>
    </row>
    <row r="365" spans="1:2">
      <c r="A365" s="180" t="s">
        <v>2264</v>
      </c>
      <c r="B365" s="179" t="s">
        <v>2265</v>
      </c>
    </row>
    <row r="366" spans="1:2">
      <c r="A366" s="180" t="s">
        <v>2266</v>
      </c>
      <c r="B366" s="179" t="s">
        <v>2267</v>
      </c>
    </row>
    <row r="367" spans="1:2">
      <c r="A367" s="180" t="s">
        <v>2268</v>
      </c>
      <c r="B367" s="179" t="s">
        <v>2269</v>
      </c>
    </row>
    <row r="368" spans="1:2">
      <c r="A368" s="180" t="s">
        <v>2270</v>
      </c>
      <c r="B368" s="179" t="s">
        <v>2271</v>
      </c>
    </row>
    <row r="369" spans="1:2">
      <c r="A369" s="180" t="s">
        <v>2272</v>
      </c>
      <c r="B369" s="179" t="s">
        <v>2273</v>
      </c>
    </row>
    <row r="370" spans="1:2">
      <c r="A370" s="180" t="s">
        <v>2274</v>
      </c>
      <c r="B370" s="179" t="s">
        <v>2275</v>
      </c>
    </row>
    <row r="371" spans="1:2">
      <c r="A371" s="180" t="s">
        <v>2276</v>
      </c>
      <c r="B371" s="179" t="s">
        <v>2277</v>
      </c>
    </row>
    <row r="372" spans="1:2">
      <c r="A372" s="180" t="s">
        <v>2278</v>
      </c>
      <c r="B372" s="179" t="s">
        <v>2279</v>
      </c>
    </row>
    <row r="373" spans="1:2">
      <c r="A373" s="180" t="s">
        <v>2280</v>
      </c>
      <c r="B373" s="179" t="s">
        <v>2281</v>
      </c>
    </row>
    <row r="374" spans="1:2">
      <c r="A374" s="180" t="s">
        <v>2282</v>
      </c>
      <c r="B374" s="179" t="s">
        <v>2283</v>
      </c>
    </row>
    <row r="375" spans="1:2">
      <c r="A375" s="180" t="s">
        <v>2284</v>
      </c>
      <c r="B375" s="179" t="s">
        <v>2285</v>
      </c>
    </row>
    <row r="376" spans="1:2">
      <c r="A376" s="180" t="s">
        <v>2286</v>
      </c>
      <c r="B376" s="179" t="s">
        <v>2287</v>
      </c>
    </row>
    <row r="377" spans="1:2">
      <c r="A377" s="180" t="s">
        <v>2288</v>
      </c>
      <c r="B377" s="179" t="s">
        <v>2289</v>
      </c>
    </row>
    <row r="378" spans="1:2">
      <c r="A378" s="180" t="s">
        <v>2290</v>
      </c>
      <c r="B378" s="179" t="s">
        <v>2291</v>
      </c>
    </row>
    <row r="379" spans="1:2">
      <c r="A379" s="180" t="s">
        <v>2292</v>
      </c>
      <c r="B379" s="179" t="s">
        <v>2293</v>
      </c>
    </row>
    <row r="380" spans="1:2">
      <c r="A380" s="180" t="s">
        <v>2294</v>
      </c>
      <c r="B380" s="179" t="s">
        <v>2295</v>
      </c>
    </row>
    <row r="381" spans="1:2">
      <c r="A381" s="180" t="s">
        <v>2296</v>
      </c>
      <c r="B381" s="179" t="s">
        <v>2297</v>
      </c>
    </row>
    <row r="382" spans="1:2">
      <c r="A382" s="180" t="s">
        <v>2298</v>
      </c>
      <c r="B382" s="179" t="s">
        <v>2299</v>
      </c>
    </row>
    <row r="383" spans="1:2">
      <c r="A383" s="180" t="s">
        <v>2300</v>
      </c>
      <c r="B383" s="179" t="s">
        <v>2301</v>
      </c>
    </row>
    <row r="384" spans="1:2">
      <c r="A384" s="180" t="s">
        <v>2302</v>
      </c>
      <c r="B384" s="179" t="s">
        <v>2303</v>
      </c>
    </row>
    <row r="385" spans="1:2">
      <c r="A385" s="180" t="s">
        <v>2304</v>
      </c>
      <c r="B385" s="179" t="s">
        <v>2305</v>
      </c>
    </row>
    <row r="386" spans="1:2">
      <c r="A386" s="180" t="s">
        <v>2306</v>
      </c>
      <c r="B386" s="179" t="s">
        <v>2307</v>
      </c>
    </row>
    <row r="387" spans="1:2">
      <c r="A387" s="180" t="s">
        <v>2308</v>
      </c>
      <c r="B387" s="179" t="s">
        <v>875</v>
      </c>
    </row>
    <row r="388" spans="1:2">
      <c r="A388" s="180" t="s">
        <v>2309</v>
      </c>
      <c r="B388" s="179" t="s">
        <v>1148</v>
      </c>
    </row>
    <row r="389" spans="1:2">
      <c r="A389" s="180" t="s">
        <v>2310</v>
      </c>
      <c r="B389" s="179" t="s">
        <v>2311</v>
      </c>
    </row>
    <row r="390" spans="1:2">
      <c r="A390" s="180" t="s">
        <v>2312</v>
      </c>
      <c r="B390" s="179" t="s">
        <v>2313</v>
      </c>
    </row>
    <row r="391" spans="1:2">
      <c r="A391" s="180" t="s">
        <v>2314</v>
      </c>
      <c r="B391" s="179" t="s">
        <v>2315</v>
      </c>
    </row>
    <row r="392" spans="1:2">
      <c r="A392" s="180" t="s">
        <v>2316</v>
      </c>
      <c r="B392" s="179" t="s">
        <v>2317</v>
      </c>
    </row>
    <row r="393" spans="1:2">
      <c r="A393" s="180" t="s">
        <v>2318</v>
      </c>
      <c r="B393" s="179" t="s">
        <v>2319</v>
      </c>
    </row>
    <row r="394" spans="1:2">
      <c r="A394" s="180" t="s">
        <v>2320</v>
      </c>
      <c r="B394" s="179" t="s">
        <v>2321</v>
      </c>
    </row>
    <row r="395" spans="1:2">
      <c r="A395" s="180" t="s">
        <v>2322</v>
      </c>
      <c r="B395" s="179" t="s">
        <v>2323</v>
      </c>
    </row>
    <row r="396" spans="1:2">
      <c r="A396" s="180" t="s">
        <v>2324</v>
      </c>
      <c r="B396" s="179" t="s">
        <v>2325</v>
      </c>
    </row>
    <row r="397" spans="1:2">
      <c r="A397" s="180" t="s">
        <v>2326</v>
      </c>
      <c r="B397" s="179" t="s">
        <v>2327</v>
      </c>
    </row>
    <row r="398" spans="1:2">
      <c r="A398" s="180" t="s">
        <v>2328</v>
      </c>
      <c r="B398" s="179" t="s">
        <v>2329</v>
      </c>
    </row>
    <row r="399" spans="1:2">
      <c r="A399" s="180" t="s">
        <v>3147</v>
      </c>
      <c r="B399" s="179" t="s">
        <v>3148</v>
      </c>
    </row>
    <row r="400" spans="1:2">
      <c r="A400" s="180" t="s">
        <v>3149</v>
      </c>
      <c r="B400" s="179" t="s">
        <v>3150</v>
      </c>
    </row>
    <row r="401" spans="1:2">
      <c r="A401" s="180" t="s">
        <v>3151</v>
      </c>
      <c r="B401" s="179" t="s">
        <v>3152</v>
      </c>
    </row>
    <row r="402" spans="1:2">
      <c r="A402" s="180" t="s">
        <v>3153</v>
      </c>
      <c r="B402" s="179" t="s">
        <v>3154</v>
      </c>
    </row>
    <row r="403" spans="1:2">
      <c r="A403" s="180" t="s">
        <v>3155</v>
      </c>
      <c r="B403" s="179" t="s">
        <v>3156</v>
      </c>
    </row>
    <row r="404" spans="1:2">
      <c r="A404" s="180" t="s">
        <v>3157</v>
      </c>
      <c r="B404" s="179" t="s">
        <v>3158</v>
      </c>
    </row>
    <row r="405" spans="1:2">
      <c r="A405" s="180" t="s">
        <v>3159</v>
      </c>
      <c r="B405" s="179" t="s">
        <v>3160</v>
      </c>
    </row>
    <row r="406" spans="1:2">
      <c r="A406" s="180" t="s">
        <v>3161</v>
      </c>
      <c r="B406" s="179" t="s">
        <v>3162</v>
      </c>
    </row>
    <row r="407" spans="1:2">
      <c r="A407" s="180" t="s">
        <v>3163</v>
      </c>
      <c r="B407" s="179" t="s">
        <v>3164</v>
      </c>
    </row>
    <row r="408" spans="1:2">
      <c r="A408" s="180" t="s">
        <v>3165</v>
      </c>
      <c r="B408" s="179" t="s">
        <v>3166</v>
      </c>
    </row>
    <row r="409" spans="1:2">
      <c r="A409" s="180" t="s">
        <v>3167</v>
      </c>
      <c r="B409" s="179" t="s">
        <v>3168</v>
      </c>
    </row>
    <row r="410" spans="1:2">
      <c r="A410" s="180" t="s">
        <v>3169</v>
      </c>
      <c r="B410" s="179" t="s">
        <v>3170</v>
      </c>
    </row>
    <row r="411" spans="1:2">
      <c r="A411" s="180" t="s">
        <v>3171</v>
      </c>
      <c r="B411" s="179" t="s">
        <v>3172</v>
      </c>
    </row>
    <row r="412" spans="1:2">
      <c r="A412" s="180" t="s">
        <v>3173</v>
      </c>
      <c r="B412" s="179" t="s">
        <v>3174</v>
      </c>
    </row>
    <row r="413" spans="1:2">
      <c r="A413" s="180" t="s">
        <v>3175</v>
      </c>
      <c r="B413" s="179" t="s">
        <v>3176</v>
      </c>
    </row>
    <row r="414" spans="1:2">
      <c r="A414" s="180" t="s">
        <v>3177</v>
      </c>
      <c r="B414" s="179" t="s">
        <v>3178</v>
      </c>
    </row>
    <row r="415" spans="1:2">
      <c r="A415" s="180" t="s">
        <v>3179</v>
      </c>
      <c r="B415" s="179" t="s">
        <v>3180</v>
      </c>
    </row>
    <row r="416" spans="1:2">
      <c r="A416" s="180" t="s">
        <v>3181</v>
      </c>
      <c r="B416" s="179" t="s">
        <v>3182</v>
      </c>
    </row>
    <row r="417" spans="1:2">
      <c r="A417" s="180" t="s">
        <v>3183</v>
      </c>
      <c r="B417" s="179" t="s">
        <v>3184</v>
      </c>
    </row>
    <row r="418" spans="1:2">
      <c r="A418" s="180" t="s">
        <v>3185</v>
      </c>
      <c r="B418" s="179" t="s">
        <v>3186</v>
      </c>
    </row>
    <row r="419" spans="1:2">
      <c r="A419" s="180" t="s">
        <v>3187</v>
      </c>
      <c r="B419" s="179" t="s">
        <v>3188</v>
      </c>
    </row>
    <row r="420" spans="1:2">
      <c r="A420" s="180" t="s">
        <v>3189</v>
      </c>
      <c r="B420" s="179" t="s">
        <v>3190</v>
      </c>
    </row>
    <row r="421" spans="1:2">
      <c r="A421" s="180" t="s">
        <v>3191</v>
      </c>
      <c r="B421" s="179" t="s">
        <v>3192</v>
      </c>
    </row>
    <row r="422" spans="1:2">
      <c r="A422" s="180" t="s">
        <v>3193</v>
      </c>
      <c r="B422" s="179" t="s">
        <v>3194</v>
      </c>
    </row>
    <row r="423" spans="1:2">
      <c r="A423" s="175" t="s">
        <v>138</v>
      </c>
      <c r="B423" s="176" t="s">
        <v>1916</v>
      </c>
    </row>
    <row r="424" spans="1:2">
      <c r="A424" s="180" t="s">
        <v>804</v>
      </c>
      <c r="B424" s="179" t="s">
        <v>805</v>
      </c>
    </row>
    <row r="425" spans="1:2">
      <c r="A425" s="180" t="s">
        <v>806</v>
      </c>
      <c r="B425" s="179" t="s">
        <v>807</v>
      </c>
    </row>
    <row r="426" spans="1:2">
      <c r="A426" s="180" t="s">
        <v>808</v>
      </c>
      <c r="B426" s="179" t="s">
        <v>809</v>
      </c>
    </row>
    <row r="427" spans="1:2">
      <c r="A427" s="180" t="s">
        <v>3195</v>
      </c>
      <c r="B427" s="179" t="s">
        <v>3196</v>
      </c>
    </row>
    <row r="428" spans="1:2">
      <c r="A428" s="180" t="s">
        <v>3197</v>
      </c>
      <c r="B428" s="179" t="s">
        <v>3198</v>
      </c>
    </row>
    <row r="429" spans="1:2">
      <c r="A429" s="180" t="s">
        <v>3199</v>
      </c>
      <c r="B429" s="179" t="s">
        <v>3200</v>
      </c>
    </row>
    <row r="430" spans="1:2">
      <c r="A430" s="180" t="s">
        <v>3201</v>
      </c>
      <c r="B430" s="179" t="s">
        <v>3202</v>
      </c>
    </row>
    <row r="431" spans="1:2">
      <c r="A431" s="180" t="s">
        <v>810</v>
      </c>
      <c r="B431" s="179" t="s">
        <v>811</v>
      </c>
    </row>
    <row r="432" spans="1:2">
      <c r="A432" s="180" t="s">
        <v>812</v>
      </c>
      <c r="B432" s="179" t="s">
        <v>813</v>
      </c>
    </row>
    <row r="433" spans="1:2">
      <c r="A433" s="180" t="s">
        <v>814</v>
      </c>
      <c r="B433" s="179" t="s">
        <v>815</v>
      </c>
    </row>
    <row r="434" spans="1:2">
      <c r="A434" s="180" t="s">
        <v>816</v>
      </c>
      <c r="B434" s="179" t="s">
        <v>817</v>
      </c>
    </row>
    <row r="435" spans="1:2">
      <c r="A435" s="180" t="s">
        <v>818</v>
      </c>
      <c r="B435" s="179" t="s">
        <v>819</v>
      </c>
    </row>
    <row r="436" spans="1:2">
      <c r="A436" s="180" t="s">
        <v>820</v>
      </c>
      <c r="B436" s="179" t="s">
        <v>821</v>
      </c>
    </row>
    <row r="437" spans="1:2">
      <c r="A437" s="180" t="s">
        <v>822</v>
      </c>
      <c r="B437" s="179" t="s">
        <v>823</v>
      </c>
    </row>
    <row r="438" spans="1:2">
      <c r="A438" s="180" t="s">
        <v>824</v>
      </c>
      <c r="B438" s="179" t="s">
        <v>825</v>
      </c>
    </row>
    <row r="439" spans="1:2">
      <c r="A439" s="180" t="s">
        <v>826</v>
      </c>
      <c r="B439" s="179" t="s">
        <v>827</v>
      </c>
    </row>
    <row r="440" spans="1:2">
      <c r="A440" s="180" t="s">
        <v>828</v>
      </c>
      <c r="B440" s="179" t="s">
        <v>829</v>
      </c>
    </row>
    <row r="441" spans="1:2">
      <c r="A441" s="180" t="s">
        <v>830</v>
      </c>
      <c r="B441" s="179" t="s">
        <v>831</v>
      </c>
    </row>
    <row r="442" spans="1:2">
      <c r="A442" s="180" t="s">
        <v>832</v>
      </c>
      <c r="B442" s="179" t="s">
        <v>833</v>
      </c>
    </row>
    <row r="443" spans="1:2">
      <c r="A443" s="180" t="s">
        <v>834</v>
      </c>
      <c r="B443" s="179" t="s">
        <v>835</v>
      </c>
    </row>
    <row r="444" spans="1:2">
      <c r="A444" s="180" t="s">
        <v>836</v>
      </c>
      <c r="B444" s="179" t="s">
        <v>837</v>
      </c>
    </row>
    <row r="445" spans="1:2">
      <c r="A445" s="180" t="s">
        <v>838</v>
      </c>
      <c r="B445" s="179" t="s">
        <v>839</v>
      </c>
    </row>
    <row r="446" spans="1:2">
      <c r="A446" s="180" t="s">
        <v>840</v>
      </c>
      <c r="B446" s="179" t="s">
        <v>841</v>
      </c>
    </row>
    <row r="447" spans="1:2">
      <c r="A447" s="180" t="s">
        <v>842</v>
      </c>
      <c r="B447" s="179" t="s">
        <v>843</v>
      </c>
    </row>
    <row r="448" spans="1:2">
      <c r="A448" s="180" t="s">
        <v>844</v>
      </c>
      <c r="B448" s="179" t="s">
        <v>845</v>
      </c>
    </row>
    <row r="449" spans="1:2">
      <c r="A449" s="180" t="s">
        <v>846</v>
      </c>
      <c r="B449" s="179" t="s">
        <v>847</v>
      </c>
    </row>
    <row r="450" spans="1:2">
      <c r="A450" s="180" t="s">
        <v>848</v>
      </c>
      <c r="B450" s="179" t="s">
        <v>849</v>
      </c>
    </row>
    <row r="451" spans="1:2">
      <c r="A451" s="180" t="s">
        <v>850</v>
      </c>
      <c r="B451" s="179" t="s">
        <v>851</v>
      </c>
    </row>
    <row r="452" spans="1:2">
      <c r="A452" s="180" t="s">
        <v>852</v>
      </c>
      <c r="B452" s="179" t="s">
        <v>853</v>
      </c>
    </row>
    <row r="453" spans="1:2">
      <c r="A453" s="180" t="s">
        <v>854</v>
      </c>
      <c r="B453" s="179" t="s">
        <v>855</v>
      </c>
    </row>
    <row r="454" spans="1:2">
      <c r="A454" s="180" t="s">
        <v>856</v>
      </c>
      <c r="B454" s="179" t="s">
        <v>857</v>
      </c>
    </row>
    <row r="455" spans="1:2">
      <c r="A455" s="180" t="s">
        <v>858</v>
      </c>
      <c r="B455" s="179" t="s">
        <v>859</v>
      </c>
    </row>
    <row r="456" spans="1:2">
      <c r="A456" s="180" t="s">
        <v>1416</v>
      </c>
      <c r="B456" s="179" t="s">
        <v>1417</v>
      </c>
    </row>
    <row r="457" spans="1:2">
      <c r="A457" s="180" t="s">
        <v>1418</v>
      </c>
      <c r="B457" s="179" t="s">
        <v>1419</v>
      </c>
    </row>
    <row r="458" spans="1:2">
      <c r="A458" s="180" t="s">
        <v>1420</v>
      </c>
      <c r="B458" s="179" t="s">
        <v>1421</v>
      </c>
    </row>
    <row r="459" spans="1:2">
      <c r="A459" s="180" t="s">
        <v>1422</v>
      </c>
      <c r="B459" s="179" t="s">
        <v>1423</v>
      </c>
    </row>
    <row r="460" spans="1:2">
      <c r="A460" s="180" t="s">
        <v>1424</v>
      </c>
      <c r="B460" s="179" t="s">
        <v>1425</v>
      </c>
    </row>
    <row r="461" spans="1:2">
      <c r="A461" s="180" t="s">
        <v>1426</v>
      </c>
      <c r="B461" s="179" t="s">
        <v>1427</v>
      </c>
    </row>
    <row r="462" spans="1:2">
      <c r="A462" s="180" t="s">
        <v>1428</v>
      </c>
      <c r="B462" s="179" t="s">
        <v>1429</v>
      </c>
    </row>
    <row r="463" spans="1:2">
      <c r="A463" s="180" t="s">
        <v>1430</v>
      </c>
      <c r="B463" s="179" t="s">
        <v>1431</v>
      </c>
    </row>
    <row r="464" spans="1:2">
      <c r="A464" s="180" t="s">
        <v>1432</v>
      </c>
      <c r="B464" s="179" t="s">
        <v>1433</v>
      </c>
    </row>
    <row r="465" spans="1:2">
      <c r="A465" s="180" t="s">
        <v>1434</v>
      </c>
      <c r="B465" s="179" t="s">
        <v>1435</v>
      </c>
    </row>
    <row r="466" spans="1:2">
      <c r="A466" s="180" t="s">
        <v>1436</v>
      </c>
      <c r="B466" s="179" t="s">
        <v>1437</v>
      </c>
    </row>
    <row r="467" spans="1:2">
      <c r="A467" s="180" t="s">
        <v>1438</v>
      </c>
      <c r="B467" s="179" t="s">
        <v>1439</v>
      </c>
    </row>
    <row r="468" spans="1:2">
      <c r="A468" s="180" t="s">
        <v>1440</v>
      </c>
      <c r="B468" s="179" t="s">
        <v>1441</v>
      </c>
    </row>
    <row r="469" spans="1:2">
      <c r="A469" s="180" t="s">
        <v>1442</v>
      </c>
      <c r="B469" s="179" t="s">
        <v>1443</v>
      </c>
    </row>
    <row r="470" spans="1:2">
      <c r="A470" s="180" t="s">
        <v>1444</v>
      </c>
      <c r="B470" s="179" t="s">
        <v>1445</v>
      </c>
    </row>
    <row r="471" spans="1:2">
      <c r="A471" s="180" t="s">
        <v>1446</v>
      </c>
      <c r="B471" s="179" t="s">
        <v>1447</v>
      </c>
    </row>
    <row r="472" spans="1:2">
      <c r="A472" s="180" t="s">
        <v>1448</v>
      </c>
      <c r="B472" s="179" t="s">
        <v>1449</v>
      </c>
    </row>
    <row r="473" spans="1:2">
      <c r="A473" s="180" t="s">
        <v>1450</v>
      </c>
      <c r="B473" s="179" t="s">
        <v>1451</v>
      </c>
    </row>
    <row r="474" spans="1:2">
      <c r="A474" s="180" t="s">
        <v>1452</v>
      </c>
      <c r="B474" s="179" t="s">
        <v>1453</v>
      </c>
    </row>
    <row r="475" spans="1:2">
      <c r="A475" s="180" t="s">
        <v>1454</v>
      </c>
      <c r="B475" s="179" t="s">
        <v>1455</v>
      </c>
    </row>
    <row r="476" spans="1:2">
      <c r="A476" s="180" t="s">
        <v>1456</v>
      </c>
      <c r="B476" s="179" t="s">
        <v>1457</v>
      </c>
    </row>
    <row r="477" spans="1:2">
      <c r="A477" s="180" t="s">
        <v>1458</v>
      </c>
      <c r="B477" s="179" t="s">
        <v>1459</v>
      </c>
    </row>
    <row r="478" spans="1:2">
      <c r="A478" s="180" t="s">
        <v>1460</v>
      </c>
      <c r="B478" s="179" t="s">
        <v>1461</v>
      </c>
    </row>
    <row r="479" spans="1:2">
      <c r="A479" s="180" t="s">
        <v>1462</v>
      </c>
      <c r="B479" s="179" t="s">
        <v>1463</v>
      </c>
    </row>
    <row r="480" spans="1:2">
      <c r="A480" s="180" t="s">
        <v>1464</v>
      </c>
      <c r="B480" s="179" t="s">
        <v>1465</v>
      </c>
    </row>
    <row r="481" spans="1:2">
      <c r="A481" s="180" t="s">
        <v>1466</v>
      </c>
      <c r="B481" s="179" t="s">
        <v>1467</v>
      </c>
    </row>
    <row r="482" spans="1:2">
      <c r="A482" s="180" t="s">
        <v>1468</v>
      </c>
      <c r="B482" s="179" t="s">
        <v>1469</v>
      </c>
    </row>
    <row r="483" spans="1:2">
      <c r="A483" s="180" t="s">
        <v>1470</v>
      </c>
      <c r="B483" s="179" t="s">
        <v>1471</v>
      </c>
    </row>
    <row r="484" spans="1:2">
      <c r="A484" s="180" t="s">
        <v>1472</v>
      </c>
      <c r="B484" s="179" t="s">
        <v>1473</v>
      </c>
    </row>
    <row r="485" spans="1:2">
      <c r="A485" s="180" t="s">
        <v>1474</v>
      </c>
      <c r="B485" s="179" t="s">
        <v>1475</v>
      </c>
    </row>
    <row r="486" spans="1:2">
      <c r="A486" s="180" t="s">
        <v>1476</v>
      </c>
      <c r="B486" s="179" t="s">
        <v>1477</v>
      </c>
    </row>
    <row r="487" spans="1:2">
      <c r="A487" s="180" t="s">
        <v>1478</v>
      </c>
      <c r="B487" s="179" t="s">
        <v>1479</v>
      </c>
    </row>
    <row r="488" spans="1:2">
      <c r="A488" s="180" t="s">
        <v>1480</v>
      </c>
      <c r="B488" s="179" t="s">
        <v>1481</v>
      </c>
    </row>
    <row r="489" spans="1:2">
      <c r="A489" s="180" t="s">
        <v>1482</v>
      </c>
      <c r="B489" s="179" t="s">
        <v>1483</v>
      </c>
    </row>
    <row r="490" spans="1:2">
      <c r="A490" s="180" t="s">
        <v>1484</v>
      </c>
      <c r="B490" s="179" t="s">
        <v>1485</v>
      </c>
    </row>
    <row r="491" spans="1:2">
      <c r="A491" s="180" t="s">
        <v>1486</v>
      </c>
      <c r="B491" s="179" t="s">
        <v>1487</v>
      </c>
    </row>
    <row r="492" spans="1:2">
      <c r="A492" s="180" t="s">
        <v>1488</v>
      </c>
      <c r="B492" s="179" t="s">
        <v>1489</v>
      </c>
    </row>
    <row r="493" spans="1:2">
      <c r="A493" s="180" t="s">
        <v>1490</v>
      </c>
      <c r="B493" s="179" t="s">
        <v>1491</v>
      </c>
    </row>
    <row r="494" spans="1:2">
      <c r="A494" s="180" t="s">
        <v>1492</v>
      </c>
      <c r="B494" s="179" t="s">
        <v>1493</v>
      </c>
    </row>
    <row r="495" spans="1:2">
      <c r="A495" s="180" t="s">
        <v>1494</v>
      </c>
      <c r="B495" s="179" t="s">
        <v>1495</v>
      </c>
    </row>
    <row r="496" spans="1:2">
      <c r="A496" s="180" t="s">
        <v>1496</v>
      </c>
      <c r="B496" s="179" t="s">
        <v>1497</v>
      </c>
    </row>
    <row r="497" spans="1:2">
      <c r="A497" s="180" t="s">
        <v>1498</v>
      </c>
      <c r="B497" s="179" t="s">
        <v>1499</v>
      </c>
    </row>
    <row r="498" spans="1:2">
      <c r="A498" s="180" t="s">
        <v>1500</v>
      </c>
      <c r="B498" s="179" t="s">
        <v>1501</v>
      </c>
    </row>
    <row r="499" spans="1:2">
      <c r="A499" s="180" t="s">
        <v>1502</v>
      </c>
      <c r="B499" s="179" t="s">
        <v>1503</v>
      </c>
    </row>
    <row r="500" spans="1:2">
      <c r="A500" s="180" t="s">
        <v>1504</v>
      </c>
      <c r="B500" s="179" t="s">
        <v>1505</v>
      </c>
    </row>
    <row r="501" spans="1:2">
      <c r="A501" s="180" t="s">
        <v>1506</v>
      </c>
      <c r="B501" s="179" t="s">
        <v>1507</v>
      </c>
    </row>
    <row r="502" spans="1:2">
      <c r="A502" s="180" t="s">
        <v>1508</v>
      </c>
      <c r="B502" s="179" t="s">
        <v>1509</v>
      </c>
    </row>
    <row r="503" spans="1:2">
      <c r="A503" s="180" t="s">
        <v>1510</v>
      </c>
      <c r="B503" s="179" t="s">
        <v>1511</v>
      </c>
    </row>
    <row r="504" spans="1:2">
      <c r="A504" s="180" t="s">
        <v>1512</v>
      </c>
      <c r="B504" s="179" t="s">
        <v>1513</v>
      </c>
    </row>
    <row r="505" spans="1:2">
      <c r="A505" s="180" t="s">
        <v>1514</v>
      </c>
      <c r="B505" s="179" t="s">
        <v>1515</v>
      </c>
    </row>
    <row r="506" spans="1:2">
      <c r="A506" s="180" t="s">
        <v>1516</v>
      </c>
      <c r="B506" s="179" t="s">
        <v>1517</v>
      </c>
    </row>
    <row r="507" spans="1:2">
      <c r="A507" s="180" t="s">
        <v>1518</v>
      </c>
      <c r="B507" s="179" t="s">
        <v>1519</v>
      </c>
    </row>
    <row r="508" spans="1:2">
      <c r="A508" s="180" t="s">
        <v>1520</v>
      </c>
      <c r="B508" s="179" t="s">
        <v>1521</v>
      </c>
    </row>
    <row r="509" spans="1:2">
      <c r="A509" s="180" t="s">
        <v>1522</v>
      </c>
      <c r="B509" s="179" t="s">
        <v>1523</v>
      </c>
    </row>
    <row r="510" spans="1:2">
      <c r="A510" s="180" t="s">
        <v>1524</v>
      </c>
      <c r="B510" s="179" t="s">
        <v>1525</v>
      </c>
    </row>
    <row r="511" spans="1:2">
      <c r="A511" s="180" t="s">
        <v>1526</v>
      </c>
      <c r="B511" s="179" t="s">
        <v>1527</v>
      </c>
    </row>
    <row r="512" spans="1:2">
      <c r="A512" s="180" t="s">
        <v>1528</v>
      </c>
      <c r="B512" s="179" t="s">
        <v>1529</v>
      </c>
    </row>
    <row r="513" spans="1:2">
      <c r="A513" s="180" t="s">
        <v>1530</v>
      </c>
      <c r="B513" s="179" t="s">
        <v>1531</v>
      </c>
    </row>
    <row r="514" spans="1:2">
      <c r="A514" s="180" t="s">
        <v>1532</v>
      </c>
      <c r="B514" s="179" t="s">
        <v>1533</v>
      </c>
    </row>
    <row r="515" spans="1:2">
      <c r="A515" s="180" t="s">
        <v>1534</v>
      </c>
      <c r="B515" s="179" t="s">
        <v>1535</v>
      </c>
    </row>
    <row r="516" spans="1:2">
      <c r="A516" s="180" t="s">
        <v>1536</v>
      </c>
      <c r="B516" s="179" t="s">
        <v>1537</v>
      </c>
    </row>
    <row r="517" spans="1:2">
      <c r="A517" s="180" t="s">
        <v>1538</v>
      </c>
      <c r="B517" s="179" t="s">
        <v>1539</v>
      </c>
    </row>
    <row r="518" spans="1:2">
      <c r="A518" s="180" t="s">
        <v>1540</v>
      </c>
      <c r="B518" s="179" t="s">
        <v>1541</v>
      </c>
    </row>
    <row r="519" spans="1:2">
      <c r="A519" s="180" t="s">
        <v>1542</v>
      </c>
      <c r="B519" s="179" t="s">
        <v>1543</v>
      </c>
    </row>
    <row r="520" spans="1:2">
      <c r="A520" s="180" t="s">
        <v>1544</v>
      </c>
      <c r="B520" s="179" t="s">
        <v>1545</v>
      </c>
    </row>
    <row r="521" spans="1:2">
      <c r="A521" s="180" t="s">
        <v>1546</v>
      </c>
      <c r="B521" s="179" t="s">
        <v>1547</v>
      </c>
    </row>
    <row r="522" spans="1:2">
      <c r="A522" s="180" t="s">
        <v>1548</v>
      </c>
      <c r="B522" s="179" t="s">
        <v>1549</v>
      </c>
    </row>
    <row r="523" spans="1:2">
      <c r="A523" s="180" t="s">
        <v>1550</v>
      </c>
      <c r="B523" s="179" t="s">
        <v>1551</v>
      </c>
    </row>
    <row r="524" spans="1:2">
      <c r="A524" s="180" t="s">
        <v>1552</v>
      </c>
      <c r="B524" s="179" t="s">
        <v>1553</v>
      </c>
    </row>
    <row r="525" spans="1:2">
      <c r="A525" s="180" t="s">
        <v>1554</v>
      </c>
      <c r="B525" s="179" t="s">
        <v>1555</v>
      </c>
    </row>
    <row r="526" spans="1:2">
      <c r="A526" s="180" t="s">
        <v>1556</v>
      </c>
      <c r="B526" s="179" t="s">
        <v>1557</v>
      </c>
    </row>
    <row r="527" spans="1:2">
      <c r="A527" s="180" t="s">
        <v>1558</v>
      </c>
      <c r="B527" s="179" t="s">
        <v>1559</v>
      </c>
    </row>
    <row r="528" spans="1:2">
      <c r="A528" s="180" t="s">
        <v>1560</v>
      </c>
      <c r="B528" s="179" t="s">
        <v>1561</v>
      </c>
    </row>
    <row r="529" spans="1:2">
      <c r="A529" s="180" t="s">
        <v>1562</v>
      </c>
      <c r="B529" s="179" t="s">
        <v>1563</v>
      </c>
    </row>
    <row r="530" spans="1:2">
      <c r="A530" s="180" t="s">
        <v>1564</v>
      </c>
      <c r="B530" s="179" t="s">
        <v>1565</v>
      </c>
    </row>
    <row r="531" spans="1:2">
      <c r="A531" s="180" t="s">
        <v>2330</v>
      </c>
      <c r="B531" s="179" t="s">
        <v>2331</v>
      </c>
    </row>
    <row r="532" spans="1:2">
      <c r="A532" s="180" t="s">
        <v>2332</v>
      </c>
      <c r="B532" s="179" t="s">
        <v>2333</v>
      </c>
    </row>
    <row r="533" spans="1:2">
      <c r="A533" s="180" t="s">
        <v>2334</v>
      </c>
      <c r="B533" s="179" t="s">
        <v>2335</v>
      </c>
    </row>
    <row r="534" spans="1:2">
      <c r="A534" s="180" t="s">
        <v>2336</v>
      </c>
      <c r="B534" s="179" t="s">
        <v>2337</v>
      </c>
    </row>
    <row r="535" spans="1:2">
      <c r="A535" s="180" t="s">
        <v>2338</v>
      </c>
      <c r="B535" s="179" t="s">
        <v>2339</v>
      </c>
    </row>
    <row r="536" spans="1:2">
      <c r="A536" s="180" t="s">
        <v>2340</v>
      </c>
      <c r="B536" s="179" t="s">
        <v>2341</v>
      </c>
    </row>
    <row r="537" spans="1:2">
      <c r="A537" s="180" t="s">
        <v>2342</v>
      </c>
      <c r="B537" s="179" t="s">
        <v>2343</v>
      </c>
    </row>
    <row r="538" spans="1:2">
      <c r="A538" s="180" t="s">
        <v>2344</v>
      </c>
      <c r="B538" s="179" t="s">
        <v>2345</v>
      </c>
    </row>
    <row r="539" spans="1:2">
      <c r="A539" s="180" t="s">
        <v>2346</v>
      </c>
      <c r="B539" s="179" t="s">
        <v>2347</v>
      </c>
    </row>
    <row r="540" spans="1:2">
      <c r="A540" s="180" t="s">
        <v>2348</v>
      </c>
      <c r="B540" s="179" t="s">
        <v>2349</v>
      </c>
    </row>
    <row r="541" spans="1:2">
      <c r="A541" s="180" t="s">
        <v>2350</v>
      </c>
      <c r="B541" s="179" t="s">
        <v>2351</v>
      </c>
    </row>
    <row r="542" spans="1:2">
      <c r="A542" s="180" t="s">
        <v>2352</v>
      </c>
      <c r="B542" s="179" t="s">
        <v>2353</v>
      </c>
    </row>
    <row r="543" spans="1:2">
      <c r="A543" s="180" t="s">
        <v>2354</v>
      </c>
      <c r="B543" s="179" t="s">
        <v>2355</v>
      </c>
    </row>
    <row r="544" spans="1:2">
      <c r="A544" s="180" t="s">
        <v>2356</v>
      </c>
      <c r="B544" s="179" t="s">
        <v>2357</v>
      </c>
    </row>
    <row r="545" spans="1:2">
      <c r="A545" s="180" t="s">
        <v>2358</v>
      </c>
      <c r="B545" s="179" t="s">
        <v>2359</v>
      </c>
    </row>
    <row r="546" spans="1:2">
      <c r="A546" s="180" t="s">
        <v>2360</v>
      </c>
      <c r="B546" s="179" t="s">
        <v>2361</v>
      </c>
    </row>
    <row r="547" spans="1:2">
      <c r="A547" s="180" t="s">
        <v>2362</v>
      </c>
      <c r="B547" s="179" t="s">
        <v>2363</v>
      </c>
    </row>
    <row r="548" spans="1:2">
      <c r="A548" s="180" t="s">
        <v>2364</v>
      </c>
      <c r="B548" s="179" t="s">
        <v>2365</v>
      </c>
    </row>
    <row r="549" spans="1:2">
      <c r="A549" s="180" t="s">
        <v>2366</v>
      </c>
      <c r="B549" s="179" t="s">
        <v>2367</v>
      </c>
    </row>
    <row r="550" spans="1:2">
      <c r="A550" s="180" t="s">
        <v>2368</v>
      </c>
      <c r="B550" s="179" t="s">
        <v>2369</v>
      </c>
    </row>
    <row r="551" spans="1:2">
      <c r="A551" s="180" t="s">
        <v>2370</v>
      </c>
      <c r="B551" s="179" t="s">
        <v>2371</v>
      </c>
    </row>
    <row r="552" spans="1:2">
      <c r="A552" s="180" t="s">
        <v>2372</v>
      </c>
      <c r="B552" s="179" t="s">
        <v>2373</v>
      </c>
    </row>
    <row r="553" spans="1:2">
      <c r="A553" s="180" t="s">
        <v>2374</v>
      </c>
      <c r="B553" s="179" t="s">
        <v>2375</v>
      </c>
    </row>
    <row r="554" spans="1:2">
      <c r="A554" s="180" t="s">
        <v>2376</v>
      </c>
      <c r="B554" s="179" t="s">
        <v>2377</v>
      </c>
    </row>
    <row r="555" spans="1:2">
      <c r="A555" s="180" t="s">
        <v>2378</v>
      </c>
      <c r="B555" s="179" t="s">
        <v>2379</v>
      </c>
    </row>
    <row r="556" spans="1:2">
      <c r="A556" s="180" t="s">
        <v>2380</v>
      </c>
      <c r="B556" s="179" t="s">
        <v>2381</v>
      </c>
    </row>
    <row r="557" spans="1:2">
      <c r="A557" s="180" t="s">
        <v>2382</v>
      </c>
      <c r="B557" s="179" t="s">
        <v>2383</v>
      </c>
    </row>
    <row r="558" spans="1:2">
      <c r="A558" s="180" t="s">
        <v>2384</v>
      </c>
      <c r="B558" s="179" t="s">
        <v>2385</v>
      </c>
    </row>
    <row r="559" spans="1:2">
      <c r="A559" s="180" t="s">
        <v>2386</v>
      </c>
      <c r="B559" s="179" t="s">
        <v>2387</v>
      </c>
    </row>
    <row r="560" spans="1:2">
      <c r="A560" s="180" t="s">
        <v>2388</v>
      </c>
      <c r="B560" s="179" t="s">
        <v>2389</v>
      </c>
    </row>
    <row r="561" spans="1:2">
      <c r="A561" s="180" t="s">
        <v>2390</v>
      </c>
      <c r="B561" s="179" t="s">
        <v>1419</v>
      </c>
    </row>
    <row r="562" spans="1:2">
      <c r="A562" s="180" t="s">
        <v>2391</v>
      </c>
      <c r="B562" s="179" t="s">
        <v>2392</v>
      </c>
    </row>
    <row r="563" spans="1:2">
      <c r="A563" s="180" t="s">
        <v>2393</v>
      </c>
      <c r="B563" s="179" t="s">
        <v>2394</v>
      </c>
    </row>
    <row r="564" spans="1:2">
      <c r="A564" s="180" t="s">
        <v>2395</v>
      </c>
      <c r="B564" s="179" t="s">
        <v>2396</v>
      </c>
    </row>
    <row r="565" spans="1:2">
      <c r="A565" s="180" t="s">
        <v>2397</v>
      </c>
      <c r="B565" s="179" t="s">
        <v>2398</v>
      </c>
    </row>
    <row r="566" spans="1:2">
      <c r="A566" s="180" t="s">
        <v>2399</v>
      </c>
      <c r="B566" s="179" t="s">
        <v>2400</v>
      </c>
    </row>
    <row r="567" spans="1:2">
      <c r="A567" s="180" t="s">
        <v>2401</v>
      </c>
      <c r="B567" s="179" t="s">
        <v>2402</v>
      </c>
    </row>
    <row r="568" spans="1:2">
      <c r="A568" s="180" t="s">
        <v>2403</v>
      </c>
      <c r="B568" s="179" t="s">
        <v>2404</v>
      </c>
    </row>
    <row r="569" spans="1:2">
      <c r="A569" s="180" t="s">
        <v>2405</v>
      </c>
      <c r="B569" s="179" t="s">
        <v>2406</v>
      </c>
    </row>
    <row r="570" spans="1:2">
      <c r="A570" s="180" t="s">
        <v>2407</v>
      </c>
      <c r="B570" s="179" t="s">
        <v>2408</v>
      </c>
    </row>
    <row r="571" spans="1:2">
      <c r="A571" s="180" t="s">
        <v>2409</v>
      </c>
      <c r="B571" s="179" t="s">
        <v>2410</v>
      </c>
    </row>
    <row r="572" spans="1:2">
      <c r="A572" s="180" t="s">
        <v>2411</v>
      </c>
      <c r="B572" s="179" t="s">
        <v>2412</v>
      </c>
    </row>
    <row r="573" spans="1:2">
      <c r="A573" s="180" t="s">
        <v>2413</v>
      </c>
      <c r="B573" s="179" t="s">
        <v>2414</v>
      </c>
    </row>
    <row r="574" spans="1:2">
      <c r="A574" s="180" t="s">
        <v>2415</v>
      </c>
      <c r="B574" s="179" t="s">
        <v>2416</v>
      </c>
    </row>
    <row r="575" spans="1:2">
      <c r="A575" s="180" t="s">
        <v>2417</v>
      </c>
      <c r="B575" s="179" t="s">
        <v>2418</v>
      </c>
    </row>
    <row r="576" spans="1:2">
      <c r="A576" s="180" t="s">
        <v>2419</v>
      </c>
      <c r="B576" s="179" t="s">
        <v>2420</v>
      </c>
    </row>
    <row r="577" spans="1:2">
      <c r="A577" s="180" t="s">
        <v>2421</v>
      </c>
      <c r="B577" s="179" t="s">
        <v>2422</v>
      </c>
    </row>
    <row r="578" spans="1:2">
      <c r="A578" s="180" t="s">
        <v>2423</v>
      </c>
      <c r="B578" s="179" t="s">
        <v>2424</v>
      </c>
    </row>
    <row r="579" spans="1:2">
      <c r="A579" s="180" t="s">
        <v>2425</v>
      </c>
      <c r="B579" s="179" t="s">
        <v>2426</v>
      </c>
    </row>
    <row r="580" spans="1:2">
      <c r="A580" s="180" t="s">
        <v>2427</v>
      </c>
      <c r="B580" s="179" t="s">
        <v>2428</v>
      </c>
    </row>
    <row r="581" spans="1:2">
      <c r="A581" s="180" t="s">
        <v>2429</v>
      </c>
      <c r="B581" s="179" t="s">
        <v>2430</v>
      </c>
    </row>
    <row r="582" spans="1:2">
      <c r="A582" s="180" t="s">
        <v>2431</v>
      </c>
      <c r="B582" s="179" t="s">
        <v>2432</v>
      </c>
    </row>
    <row r="583" spans="1:2">
      <c r="A583" s="180" t="s">
        <v>2433</v>
      </c>
      <c r="B583" s="179" t="s">
        <v>2434</v>
      </c>
    </row>
    <row r="584" spans="1:2">
      <c r="A584" s="180" t="s">
        <v>2435</v>
      </c>
      <c r="B584" s="179" t="s">
        <v>2436</v>
      </c>
    </row>
    <row r="585" spans="1:2">
      <c r="A585" s="180" t="s">
        <v>2437</v>
      </c>
      <c r="B585" s="179" t="s">
        <v>2438</v>
      </c>
    </row>
    <row r="586" spans="1:2">
      <c r="A586" s="180" t="s">
        <v>2439</v>
      </c>
      <c r="B586" s="179" t="s">
        <v>2440</v>
      </c>
    </row>
    <row r="587" spans="1:2">
      <c r="A587" s="180" t="s">
        <v>2441</v>
      </c>
      <c r="B587" s="179" t="s">
        <v>2442</v>
      </c>
    </row>
    <row r="588" spans="1:2">
      <c r="A588" s="180" t="s">
        <v>2443</v>
      </c>
      <c r="B588" s="179" t="s">
        <v>2444</v>
      </c>
    </row>
    <row r="589" spans="1:2">
      <c r="A589" s="180" t="s">
        <v>2445</v>
      </c>
      <c r="B589" s="179" t="s">
        <v>2446</v>
      </c>
    </row>
    <row r="590" spans="1:2">
      <c r="A590" s="180" t="s">
        <v>2447</v>
      </c>
      <c r="B590" s="179" t="s">
        <v>2448</v>
      </c>
    </row>
    <row r="591" spans="1:2">
      <c r="A591" s="180" t="s">
        <v>2449</v>
      </c>
      <c r="B591" s="179" t="s">
        <v>2450</v>
      </c>
    </row>
    <row r="592" spans="1:2">
      <c r="A592" s="180" t="s">
        <v>2451</v>
      </c>
      <c r="B592" s="179" t="s">
        <v>2452</v>
      </c>
    </row>
    <row r="593" spans="1:2">
      <c r="A593" s="180" t="s">
        <v>2453</v>
      </c>
      <c r="B593" s="179" t="s">
        <v>2454</v>
      </c>
    </row>
    <row r="594" spans="1:2">
      <c r="A594" s="180" t="s">
        <v>2455</v>
      </c>
      <c r="B594" s="179" t="s">
        <v>2456</v>
      </c>
    </row>
    <row r="595" spans="1:2">
      <c r="A595" s="180" t="s">
        <v>2457</v>
      </c>
      <c r="B595" s="179" t="s">
        <v>2458</v>
      </c>
    </row>
    <row r="596" spans="1:2">
      <c r="A596" s="180" t="s">
        <v>2459</v>
      </c>
      <c r="B596" s="179" t="s">
        <v>2460</v>
      </c>
    </row>
    <row r="597" spans="1:2">
      <c r="A597" s="180" t="s">
        <v>2461</v>
      </c>
      <c r="B597" s="179" t="s">
        <v>2462</v>
      </c>
    </row>
    <row r="598" spans="1:2">
      <c r="A598" s="180" t="s">
        <v>2463</v>
      </c>
      <c r="B598" s="179" t="s">
        <v>2464</v>
      </c>
    </row>
    <row r="599" spans="1:2">
      <c r="A599" s="180" t="s">
        <v>2465</v>
      </c>
      <c r="B599" s="179" t="s">
        <v>2466</v>
      </c>
    </row>
    <row r="600" spans="1:2">
      <c r="A600" s="180" t="s">
        <v>2467</v>
      </c>
      <c r="B600" s="179" t="s">
        <v>2468</v>
      </c>
    </row>
    <row r="601" spans="1:2">
      <c r="A601" s="180" t="s">
        <v>2469</v>
      </c>
      <c r="B601" s="179" t="s">
        <v>2470</v>
      </c>
    </row>
    <row r="602" spans="1:2">
      <c r="A602" s="180" t="s">
        <v>2471</v>
      </c>
      <c r="B602" s="179" t="s">
        <v>2472</v>
      </c>
    </row>
    <row r="603" spans="1:2">
      <c r="A603" s="180" t="s">
        <v>2473</v>
      </c>
      <c r="B603" s="179" t="s">
        <v>2474</v>
      </c>
    </row>
    <row r="604" spans="1:2">
      <c r="A604" s="180" t="s">
        <v>2475</v>
      </c>
      <c r="B604" s="179" t="s">
        <v>2476</v>
      </c>
    </row>
    <row r="605" spans="1:2">
      <c r="A605" s="180" t="s">
        <v>2477</v>
      </c>
      <c r="B605" s="179" t="s">
        <v>2478</v>
      </c>
    </row>
    <row r="606" spans="1:2">
      <c r="A606" s="180" t="s">
        <v>2479</v>
      </c>
      <c r="B606" s="179" t="s">
        <v>2480</v>
      </c>
    </row>
    <row r="607" spans="1:2">
      <c r="A607" s="180" t="s">
        <v>2481</v>
      </c>
      <c r="B607" s="179" t="s">
        <v>2482</v>
      </c>
    </row>
    <row r="608" spans="1:2">
      <c r="A608" s="180" t="s">
        <v>2483</v>
      </c>
      <c r="B608" s="179" t="s">
        <v>2484</v>
      </c>
    </row>
    <row r="609" spans="1:2">
      <c r="A609" s="180" t="s">
        <v>2485</v>
      </c>
      <c r="B609" s="179" t="s">
        <v>2486</v>
      </c>
    </row>
    <row r="610" spans="1:2">
      <c r="A610" s="180" t="s">
        <v>2487</v>
      </c>
      <c r="B610" s="179" t="s">
        <v>2488</v>
      </c>
    </row>
    <row r="611" spans="1:2">
      <c r="A611" s="180" t="s">
        <v>2489</v>
      </c>
      <c r="B611" s="179" t="s">
        <v>2490</v>
      </c>
    </row>
    <row r="612" spans="1:2">
      <c r="A612" s="180" t="s">
        <v>2491</v>
      </c>
      <c r="B612" s="179" t="s">
        <v>2492</v>
      </c>
    </row>
    <row r="613" spans="1:2">
      <c r="A613" s="180" t="s">
        <v>2493</v>
      </c>
      <c r="B613" s="179" t="s">
        <v>2494</v>
      </c>
    </row>
    <row r="614" spans="1:2">
      <c r="A614" s="180" t="s">
        <v>2495</v>
      </c>
      <c r="B614" s="179" t="s">
        <v>2496</v>
      </c>
    </row>
    <row r="615" spans="1:2">
      <c r="A615" s="180" t="s">
        <v>2497</v>
      </c>
      <c r="B615" s="179" t="s">
        <v>2498</v>
      </c>
    </row>
    <row r="616" spans="1:2">
      <c r="A616" s="180" t="s">
        <v>2499</v>
      </c>
      <c r="B616" s="179" t="s">
        <v>2500</v>
      </c>
    </row>
    <row r="617" spans="1:2">
      <c r="A617" s="180" t="s">
        <v>2501</v>
      </c>
      <c r="B617" s="179" t="s">
        <v>2502</v>
      </c>
    </row>
    <row r="618" spans="1:2">
      <c r="A618" s="180" t="s">
        <v>2503</v>
      </c>
      <c r="B618" s="179" t="s">
        <v>2504</v>
      </c>
    </row>
    <row r="619" spans="1:2">
      <c r="A619" s="180" t="s">
        <v>2505</v>
      </c>
      <c r="B619" s="179" t="s">
        <v>2506</v>
      </c>
    </row>
    <row r="620" spans="1:2">
      <c r="A620" s="180" t="s">
        <v>2507</v>
      </c>
      <c r="B620" s="179" t="s">
        <v>2508</v>
      </c>
    </row>
    <row r="621" spans="1:2">
      <c r="A621" s="180" t="s">
        <v>2509</v>
      </c>
      <c r="B621" s="179" t="s">
        <v>2510</v>
      </c>
    </row>
    <row r="622" spans="1:2">
      <c r="A622" s="180" t="s">
        <v>2511</v>
      </c>
      <c r="B622" s="179" t="s">
        <v>2512</v>
      </c>
    </row>
    <row r="623" spans="1:2">
      <c r="A623" s="180" t="s">
        <v>2513</v>
      </c>
      <c r="B623" s="179" t="s">
        <v>2514</v>
      </c>
    </row>
    <row r="624" spans="1:2">
      <c r="A624" s="180" t="s">
        <v>2515</v>
      </c>
      <c r="B624" s="179" t="s">
        <v>2516</v>
      </c>
    </row>
    <row r="625" spans="1:2">
      <c r="A625" s="180" t="s">
        <v>2517</v>
      </c>
      <c r="B625" s="179" t="s">
        <v>2518</v>
      </c>
    </row>
    <row r="626" spans="1:2">
      <c r="A626" s="180" t="s">
        <v>2519</v>
      </c>
      <c r="B626" s="179" t="s">
        <v>2520</v>
      </c>
    </row>
    <row r="627" spans="1:2">
      <c r="A627" s="180" t="s">
        <v>2521</v>
      </c>
      <c r="B627" s="179" t="s">
        <v>2522</v>
      </c>
    </row>
    <row r="628" spans="1:2">
      <c r="A628" s="180" t="s">
        <v>2523</v>
      </c>
      <c r="B628" s="179" t="s">
        <v>2524</v>
      </c>
    </row>
    <row r="629" spans="1:2">
      <c r="A629" s="180" t="s">
        <v>2525</v>
      </c>
      <c r="B629" s="179" t="s">
        <v>2526</v>
      </c>
    </row>
    <row r="630" spans="1:2">
      <c r="A630" s="180" t="s">
        <v>2527</v>
      </c>
      <c r="B630" s="179" t="s">
        <v>2528</v>
      </c>
    </row>
    <row r="631" spans="1:2">
      <c r="A631" s="180" t="s">
        <v>2529</v>
      </c>
      <c r="B631" s="179" t="s">
        <v>2530</v>
      </c>
    </row>
    <row r="632" spans="1:2">
      <c r="A632" s="180" t="s">
        <v>2531</v>
      </c>
      <c r="B632" s="179" t="s">
        <v>2532</v>
      </c>
    </row>
    <row r="633" spans="1:2">
      <c r="A633" s="180" t="s">
        <v>2533</v>
      </c>
      <c r="B633" s="179" t="s">
        <v>2534</v>
      </c>
    </row>
    <row r="634" spans="1:2">
      <c r="A634" s="180" t="s">
        <v>2535</v>
      </c>
      <c r="B634" s="179" t="s">
        <v>2536</v>
      </c>
    </row>
    <row r="635" spans="1:2">
      <c r="A635" s="180" t="s">
        <v>2537</v>
      </c>
      <c r="B635" s="179" t="s">
        <v>2538</v>
      </c>
    </row>
    <row r="636" spans="1:2">
      <c r="A636" s="180" t="s">
        <v>2539</v>
      </c>
      <c r="B636" s="179" t="s">
        <v>2540</v>
      </c>
    </row>
    <row r="637" spans="1:2">
      <c r="A637" s="180" t="s">
        <v>2541</v>
      </c>
      <c r="B637" s="179" t="s">
        <v>2542</v>
      </c>
    </row>
    <row r="638" spans="1:2">
      <c r="A638" s="180" t="s">
        <v>2543</v>
      </c>
      <c r="B638" s="179" t="s">
        <v>2544</v>
      </c>
    </row>
    <row r="639" spans="1:2">
      <c r="A639" s="180" t="s">
        <v>2545</v>
      </c>
      <c r="B639" s="179" t="s">
        <v>2546</v>
      </c>
    </row>
    <row r="640" spans="1:2">
      <c r="A640" s="180" t="s">
        <v>2547</v>
      </c>
      <c r="B640" s="179" t="s">
        <v>2548</v>
      </c>
    </row>
    <row r="641" spans="1:2">
      <c r="A641" s="180" t="s">
        <v>2549</v>
      </c>
      <c r="B641" s="179" t="s">
        <v>2550</v>
      </c>
    </row>
    <row r="642" spans="1:2">
      <c r="A642" s="180" t="s">
        <v>2551</v>
      </c>
      <c r="B642" s="179" t="s">
        <v>2552</v>
      </c>
    </row>
    <row r="643" spans="1:2">
      <c r="A643" s="180" t="s">
        <v>2553</v>
      </c>
      <c r="B643" s="179" t="s">
        <v>2554</v>
      </c>
    </row>
    <row r="644" spans="1:2">
      <c r="A644" s="180" t="s">
        <v>2555</v>
      </c>
      <c r="B644" s="179" t="s">
        <v>2556</v>
      </c>
    </row>
    <row r="645" spans="1:2">
      <c r="A645" s="180" t="s">
        <v>2557</v>
      </c>
      <c r="B645" s="179" t="s">
        <v>2558</v>
      </c>
    </row>
    <row r="646" spans="1:2">
      <c r="A646" s="180" t="s">
        <v>2559</v>
      </c>
      <c r="B646" s="179" t="s">
        <v>2560</v>
      </c>
    </row>
    <row r="647" spans="1:2">
      <c r="A647" s="180" t="s">
        <v>2561</v>
      </c>
      <c r="B647" s="179" t="s">
        <v>2562</v>
      </c>
    </row>
    <row r="648" spans="1:2">
      <c r="A648" s="180" t="s">
        <v>2563</v>
      </c>
      <c r="B648" s="179" t="s">
        <v>2564</v>
      </c>
    </row>
    <row r="649" spans="1:2">
      <c r="A649" s="180" t="s">
        <v>2565</v>
      </c>
      <c r="B649" s="179" t="s">
        <v>2566</v>
      </c>
    </row>
    <row r="650" spans="1:2">
      <c r="A650" s="180" t="s">
        <v>2567</v>
      </c>
      <c r="B650" s="179" t="s">
        <v>2568</v>
      </c>
    </row>
    <row r="651" spans="1:2">
      <c r="A651" s="180" t="s">
        <v>2569</v>
      </c>
      <c r="B651" s="179" t="s">
        <v>2570</v>
      </c>
    </row>
    <row r="652" spans="1:2">
      <c r="A652" s="180" t="s">
        <v>2571</v>
      </c>
      <c r="B652" s="179" t="s">
        <v>2572</v>
      </c>
    </row>
    <row r="653" spans="1:2">
      <c r="A653" s="180" t="s">
        <v>2573</v>
      </c>
      <c r="B653" s="179" t="s">
        <v>2574</v>
      </c>
    </row>
    <row r="654" spans="1:2">
      <c r="A654" s="180" t="s">
        <v>2575</v>
      </c>
      <c r="B654" s="179" t="s">
        <v>2576</v>
      </c>
    </row>
    <row r="655" spans="1:2">
      <c r="A655" s="180" t="s">
        <v>2577</v>
      </c>
      <c r="B655" s="179" t="s">
        <v>2578</v>
      </c>
    </row>
    <row r="656" spans="1:2">
      <c r="A656" s="180" t="s">
        <v>2579</v>
      </c>
      <c r="B656" s="179" t="s">
        <v>2580</v>
      </c>
    </row>
    <row r="657" spans="1:2">
      <c r="A657" s="180" t="s">
        <v>2581</v>
      </c>
      <c r="B657" s="179" t="s">
        <v>2582</v>
      </c>
    </row>
    <row r="658" spans="1:2">
      <c r="A658" s="180" t="s">
        <v>2583</v>
      </c>
      <c r="B658" s="179" t="s">
        <v>2584</v>
      </c>
    </row>
    <row r="659" spans="1:2">
      <c r="A659" s="180" t="s">
        <v>2585</v>
      </c>
      <c r="B659" s="179" t="s">
        <v>2586</v>
      </c>
    </row>
    <row r="660" spans="1:2">
      <c r="A660" s="180" t="s">
        <v>2587</v>
      </c>
      <c r="B660" s="179" t="s">
        <v>2588</v>
      </c>
    </row>
    <row r="661" spans="1:2">
      <c r="A661" s="180" t="s">
        <v>2589</v>
      </c>
      <c r="B661" s="179" t="s">
        <v>2590</v>
      </c>
    </row>
    <row r="662" spans="1:2">
      <c r="A662" s="180" t="s">
        <v>2591</v>
      </c>
      <c r="B662" s="179" t="s">
        <v>2592</v>
      </c>
    </row>
    <row r="663" spans="1:2">
      <c r="A663" s="180" t="s">
        <v>2593</v>
      </c>
      <c r="B663" s="179" t="s">
        <v>2594</v>
      </c>
    </row>
    <row r="664" spans="1:2">
      <c r="A664" s="180" t="s">
        <v>2595</v>
      </c>
      <c r="B664" s="179" t="s">
        <v>2596</v>
      </c>
    </row>
    <row r="665" spans="1:2">
      <c r="A665" s="180" t="s">
        <v>2597</v>
      </c>
      <c r="B665" s="179" t="s">
        <v>2598</v>
      </c>
    </row>
    <row r="666" spans="1:2">
      <c r="A666" s="180" t="s">
        <v>2599</v>
      </c>
      <c r="B666" s="179" t="s">
        <v>2600</v>
      </c>
    </row>
    <row r="667" spans="1:2">
      <c r="A667" s="180" t="s">
        <v>2601</v>
      </c>
      <c r="B667" s="179" t="s">
        <v>2602</v>
      </c>
    </row>
    <row r="668" spans="1:2">
      <c r="A668" s="180" t="s">
        <v>2603</v>
      </c>
      <c r="B668" s="179" t="s">
        <v>2604</v>
      </c>
    </row>
    <row r="669" spans="1:2">
      <c r="A669" s="180" t="s">
        <v>2605</v>
      </c>
      <c r="B669" s="179" t="s">
        <v>2606</v>
      </c>
    </row>
    <row r="670" spans="1:2">
      <c r="A670" s="180" t="s">
        <v>2607</v>
      </c>
      <c r="B670" s="179" t="s">
        <v>2608</v>
      </c>
    </row>
    <row r="671" spans="1:2">
      <c r="A671" s="180" t="s">
        <v>2609</v>
      </c>
      <c r="B671" s="179" t="s">
        <v>2610</v>
      </c>
    </row>
    <row r="672" spans="1:2">
      <c r="A672" s="180" t="s">
        <v>2611</v>
      </c>
      <c r="B672" s="179" t="s">
        <v>2612</v>
      </c>
    </row>
    <row r="673" spans="1:2">
      <c r="A673" s="180" t="s">
        <v>2613</v>
      </c>
      <c r="B673" s="179" t="s">
        <v>2614</v>
      </c>
    </row>
    <row r="674" spans="1:2">
      <c r="A674" s="180" t="s">
        <v>2615</v>
      </c>
      <c r="B674" s="179" t="s">
        <v>2616</v>
      </c>
    </row>
    <row r="675" spans="1:2">
      <c r="A675" s="180" t="s">
        <v>2617</v>
      </c>
      <c r="B675" s="179" t="s">
        <v>2618</v>
      </c>
    </row>
    <row r="676" spans="1:2">
      <c r="A676" s="180" t="s">
        <v>2619</v>
      </c>
      <c r="B676" s="179" t="s">
        <v>2620</v>
      </c>
    </row>
    <row r="677" spans="1:2">
      <c r="A677" s="180" t="s">
        <v>2621</v>
      </c>
      <c r="B677" s="179" t="s">
        <v>2622</v>
      </c>
    </row>
    <row r="678" spans="1:2">
      <c r="A678" s="180" t="s">
        <v>2623</v>
      </c>
      <c r="B678" s="179" t="s">
        <v>2624</v>
      </c>
    </row>
    <row r="679" spans="1:2">
      <c r="A679" s="180" t="s">
        <v>2625</v>
      </c>
      <c r="B679" s="179" t="s">
        <v>2626</v>
      </c>
    </row>
    <row r="680" spans="1:2">
      <c r="A680" s="180" t="s">
        <v>2627</v>
      </c>
      <c r="B680" s="179" t="s">
        <v>2628</v>
      </c>
    </row>
    <row r="681" spans="1:2">
      <c r="A681" s="180" t="s">
        <v>2629</v>
      </c>
      <c r="B681" s="179" t="s">
        <v>2630</v>
      </c>
    </row>
    <row r="682" spans="1:2">
      <c r="A682" s="180" t="s">
        <v>2631</v>
      </c>
      <c r="B682" s="179" t="s">
        <v>2632</v>
      </c>
    </row>
    <row r="683" spans="1:2">
      <c r="A683" s="180" t="s">
        <v>2633</v>
      </c>
      <c r="B683" s="179" t="s">
        <v>2634</v>
      </c>
    </row>
    <row r="684" spans="1:2">
      <c r="A684" s="180" t="s">
        <v>2635</v>
      </c>
      <c r="B684" s="179" t="s">
        <v>2636</v>
      </c>
    </row>
    <row r="685" spans="1:2">
      <c r="A685" s="180" t="s">
        <v>2637</v>
      </c>
      <c r="B685" s="179" t="s">
        <v>2638</v>
      </c>
    </row>
    <row r="686" spans="1:2">
      <c r="A686" s="180" t="s">
        <v>2639</v>
      </c>
      <c r="B686" s="179" t="s">
        <v>2640</v>
      </c>
    </row>
    <row r="687" spans="1:2">
      <c r="A687" s="180" t="s">
        <v>2641</v>
      </c>
      <c r="B687" s="179" t="s">
        <v>2642</v>
      </c>
    </row>
    <row r="688" spans="1:2">
      <c r="A688" s="180" t="s">
        <v>2643</v>
      </c>
      <c r="B688" s="179" t="s">
        <v>2644</v>
      </c>
    </row>
    <row r="689" spans="1:2">
      <c r="A689" s="180" t="s">
        <v>2645</v>
      </c>
      <c r="B689" s="179" t="s">
        <v>2646</v>
      </c>
    </row>
    <row r="690" spans="1:2">
      <c r="A690" s="180" t="s">
        <v>2647</v>
      </c>
      <c r="B690" s="179" t="s">
        <v>2648</v>
      </c>
    </row>
    <row r="691" spans="1:2">
      <c r="A691" s="180" t="s">
        <v>2649</v>
      </c>
      <c r="B691" s="179" t="s">
        <v>2650</v>
      </c>
    </row>
    <row r="692" spans="1:2">
      <c r="A692" s="180" t="s">
        <v>2651</v>
      </c>
      <c r="B692" s="179" t="s">
        <v>2652</v>
      </c>
    </row>
    <row r="693" spans="1:2">
      <c r="A693" s="180" t="s">
        <v>2653</v>
      </c>
      <c r="B693" s="179" t="s">
        <v>2654</v>
      </c>
    </row>
    <row r="694" spans="1:2">
      <c r="A694" s="180" t="s">
        <v>2655</v>
      </c>
      <c r="B694" s="179" t="s">
        <v>2656</v>
      </c>
    </row>
    <row r="695" spans="1:2">
      <c r="A695" s="180" t="s">
        <v>2657</v>
      </c>
      <c r="B695" s="179" t="s">
        <v>2658</v>
      </c>
    </row>
    <row r="696" spans="1:2">
      <c r="A696" s="180" t="s">
        <v>2659</v>
      </c>
      <c r="B696" s="179" t="s">
        <v>2660</v>
      </c>
    </row>
    <row r="697" spans="1:2">
      <c r="A697" s="180" t="s">
        <v>2661</v>
      </c>
      <c r="B697" s="179" t="s">
        <v>2662</v>
      </c>
    </row>
    <row r="698" spans="1:2">
      <c r="A698" s="180" t="s">
        <v>2663</v>
      </c>
      <c r="B698" s="179" t="s">
        <v>2664</v>
      </c>
    </row>
    <row r="699" spans="1:2">
      <c r="A699" s="180" t="s">
        <v>2665</v>
      </c>
      <c r="B699" s="179" t="s">
        <v>2666</v>
      </c>
    </row>
    <row r="700" spans="1:2">
      <c r="A700" s="180" t="s">
        <v>2667</v>
      </c>
      <c r="B700" s="179" t="s">
        <v>2668</v>
      </c>
    </row>
    <row r="701" spans="1:2">
      <c r="A701" s="180" t="s">
        <v>2669</v>
      </c>
      <c r="B701" s="179" t="s">
        <v>2670</v>
      </c>
    </row>
    <row r="702" spans="1:2">
      <c r="A702" s="180" t="s">
        <v>2671</v>
      </c>
      <c r="B702" s="179" t="s">
        <v>2672</v>
      </c>
    </row>
    <row r="703" spans="1:2">
      <c r="A703" s="180" t="s">
        <v>2673</v>
      </c>
      <c r="B703" s="179" t="s">
        <v>2674</v>
      </c>
    </row>
    <row r="704" spans="1:2">
      <c r="A704" s="180" t="s">
        <v>2675</v>
      </c>
      <c r="B704" s="179" t="s">
        <v>2676</v>
      </c>
    </row>
    <row r="705" spans="1:2">
      <c r="A705" s="180" t="s">
        <v>2677</v>
      </c>
      <c r="B705" s="179" t="s">
        <v>2678</v>
      </c>
    </row>
    <row r="706" spans="1:2">
      <c r="A706" s="180" t="s">
        <v>2679</v>
      </c>
      <c r="B706" s="179" t="s">
        <v>2680</v>
      </c>
    </row>
    <row r="707" spans="1:2">
      <c r="A707" s="180" t="s">
        <v>2681</v>
      </c>
      <c r="B707" s="179" t="s">
        <v>2682</v>
      </c>
    </row>
    <row r="708" spans="1:2">
      <c r="A708" s="180" t="s">
        <v>2683</v>
      </c>
      <c r="B708" s="179" t="s">
        <v>2684</v>
      </c>
    </row>
    <row r="709" spans="1:2">
      <c r="A709" s="180" t="s">
        <v>2685</v>
      </c>
      <c r="B709" s="179" t="s">
        <v>2686</v>
      </c>
    </row>
    <row r="710" spans="1:2">
      <c r="A710" s="180" t="s">
        <v>2687</v>
      </c>
      <c r="B710" s="179" t="s">
        <v>2688</v>
      </c>
    </row>
    <row r="711" spans="1:2">
      <c r="A711" s="180" t="s">
        <v>2689</v>
      </c>
      <c r="B711" s="179" t="s">
        <v>2690</v>
      </c>
    </row>
    <row r="712" spans="1:2">
      <c r="A712" s="180" t="s">
        <v>2691</v>
      </c>
      <c r="B712" s="179" t="s">
        <v>2692</v>
      </c>
    </row>
    <row r="713" spans="1:2">
      <c r="A713" s="180" t="s">
        <v>2693</v>
      </c>
      <c r="B713" s="179" t="s">
        <v>2694</v>
      </c>
    </row>
    <row r="714" spans="1:2">
      <c r="A714" s="180" t="s">
        <v>2695</v>
      </c>
      <c r="B714" s="179" t="s">
        <v>2696</v>
      </c>
    </row>
    <row r="715" spans="1:2">
      <c r="A715" s="180" t="s">
        <v>2697</v>
      </c>
      <c r="B715" s="179" t="s">
        <v>2698</v>
      </c>
    </row>
    <row r="716" spans="1:2">
      <c r="A716" s="180" t="s">
        <v>2699</v>
      </c>
      <c r="B716" s="179" t="s">
        <v>2700</v>
      </c>
    </row>
    <row r="717" spans="1:2">
      <c r="A717" s="180" t="s">
        <v>2701</v>
      </c>
      <c r="B717" s="179" t="s">
        <v>2702</v>
      </c>
    </row>
    <row r="718" spans="1:2">
      <c r="A718" s="180" t="s">
        <v>2703</v>
      </c>
      <c r="B718" s="179" t="s">
        <v>2704</v>
      </c>
    </row>
    <row r="719" spans="1:2">
      <c r="A719" s="180" t="s">
        <v>2705</v>
      </c>
      <c r="B719" s="179" t="s">
        <v>2706</v>
      </c>
    </row>
    <row r="720" spans="1:2">
      <c r="A720" s="180" t="s">
        <v>2707</v>
      </c>
      <c r="B720" s="179" t="s">
        <v>2708</v>
      </c>
    </row>
    <row r="721" spans="1:2">
      <c r="A721" s="180" t="s">
        <v>2709</v>
      </c>
      <c r="B721" s="179" t="s">
        <v>2710</v>
      </c>
    </row>
    <row r="722" spans="1:2">
      <c r="A722" s="180" t="s">
        <v>2711</v>
      </c>
      <c r="B722" s="179" t="s">
        <v>2712</v>
      </c>
    </row>
    <row r="723" spans="1:2">
      <c r="A723" s="180" t="s">
        <v>2713</v>
      </c>
      <c r="B723" s="179" t="s">
        <v>2714</v>
      </c>
    </row>
    <row r="724" spans="1:2">
      <c r="A724" s="180" t="s">
        <v>2715</v>
      </c>
      <c r="B724" s="179" t="s">
        <v>2716</v>
      </c>
    </row>
    <row r="725" spans="1:2">
      <c r="A725" s="180" t="s">
        <v>2717</v>
      </c>
      <c r="B725" s="179" t="s">
        <v>2718</v>
      </c>
    </row>
    <row r="726" spans="1:2">
      <c r="A726" s="180" t="s">
        <v>2719</v>
      </c>
      <c r="B726" s="179" t="s">
        <v>2720</v>
      </c>
    </row>
    <row r="727" spans="1:2">
      <c r="A727" s="180" t="s">
        <v>2721</v>
      </c>
      <c r="B727" s="179" t="s">
        <v>2722</v>
      </c>
    </row>
    <row r="728" spans="1:2">
      <c r="A728" s="180" t="s">
        <v>2723</v>
      </c>
      <c r="B728" s="179" t="s">
        <v>2724</v>
      </c>
    </row>
    <row r="729" spans="1:2">
      <c r="A729" s="180" t="s">
        <v>2725</v>
      </c>
      <c r="B729" s="179" t="s">
        <v>2726</v>
      </c>
    </row>
    <row r="730" spans="1:2">
      <c r="A730" s="180" t="s">
        <v>2727</v>
      </c>
      <c r="B730" s="179" t="s">
        <v>2728</v>
      </c>
    </row>
    <row r="731" spans="1:2">
      <c r="A731" s="180" t="s">
        <v>2729</v>
      </c>
      <c r="B731" s="179" t="s">
        <v>2730</v>
      </c>
    </row>
    <row r="732" spans="1:2">
      <c r="A732" s="180" t="s">
        <v>2731</v>
      </c>
      <c r="B732" s="179" t="s">
        <v>2732</v>
      </c>
    </row>
    <row r="733" spans="1:2">
      <c r="A733" s="180" t="s">
        <v>2733</v>
      </c>
      <c r="B733" s="179" t="s">
        <v>2734</v>
      </c>
    </row>
    <row r="734" spans="1:2">
      <c r="A734" s="180" t="s">
        <v>2735</v>
      </c>
      <c r="B734" s="179" t="s">
        <v>2736</v>
      </c>
    </row>
    <row r="735" spans="1:2">
      <c r="A735" s="180" t="s">
        <v>2737</v>
      </c>
      <c r="B735" s="179" t="s">
        <v>2738</v>
      </c>
    </row>
    <row r="736" spans="1:2">
      <c r="A736" s="180" t="s">
        <v>2739</v>
      </c>
      <c r="B736" s="179" t="s">
        <v>2740</v>
      </c>
    </row>
    <row r="737" spans="1:2">
      <c r="A737" s="180" t="s">
        <v>2741</v>
      </c>
      <c r="B737" s="179" t="s">
        <v>2742</v>
      </c>
    </row>
    <row r="738" spans="1:2">
      <c r="A738" s="180" t="s">
        <v>2743</v>
      </c>
      <c r="B738" s="179" t="s">
        <v>2744</v>
      </c>
    </row>
    <row r="739" spans="1:2">
      <c r="A739" s="180" t="s">
        <v>2745</v>
      </c>
      <c r="B739" s="179" t="s">
        <v>2746</v>
      </c>
    </row>
    <row r="740" spans="1:2">
      <c r="A740" s="180" t="s">
        <v>2747</v>
      </c>
      <c r="B740" s="179" t="s">
        <v>2748</v>
      </c>
    </row>
    <row r="741" spans="1:2">
      <c r="A741" s="180" t="s">
        <v>2749</v>
      </c>
      <c r="B741" s="179" t="s">
        <v>2750</v>
      </c>
    </row>
    <row r="742" spans="1:2">
      <c r="A742" s="180" t="s">
        <v>2751</v>
      </c>
      <c r="B742" s="179" t="s">
        <v>2752</v>
      </c>
    </row>
    <row r="743" spans="1:2">
      <c r="A743" s="180" t="s">
        <v>2753</v>
      </c>
      <c r="B743" s="179" t="s">
        <v>2754</v>
      </c>
    </row>
    <row r="744" spans="1:2">
      <c r="A744" s="180" t="s">
        <v>2755</v>
      </c>
      <c r="B744" s="179" t="s">
        <v>2756</v>
      </c>
    </row>
    <row r="745" spans="1:2">
      <c r="A745" s="180" t="s">
        <v>2757</v>
      </c>
      <c r="B745" s="179" t="s">
        <v>2758</v>
      </c>
    </row>
    <row r="746" spans="1:2">
      <c r="A746" s="180" t="s">
        <v>2759</v>
      </c>
      <c r="B746" s="179" t="s">
        <v>2760</v>
      </c>
    </row>
    <row r="747" spans="1:2">
      <c r="A747" s="180" t="s">
        <v>2761</v>
      </c>
      <c r="B747" s="179" t="s">
        <v>2281</v>
      </c>
    </row>
    <row r="748" spans="1:2">
      <c r="A748" s="180" t="s">
        <v>2762</v>
      </c>
      <c r="B748" s="179" t="s">
        <v>2763</v>
      </c>
    </row>
    <row r="749" spans="1:2">
      <c r="A749" s="180" t="s">
        <v>2764</v>
      </c>
      <c r="B749" s="179" t="s">
        <v>2765</v>
      </c>
    </row>
    <row r="750" spans="1:2">
      <c r="A750" s="180" t="s">
        <v>2766</v>
      </c>
      <c r="B750" s="179" t="s">
        <v>2767</v>
      </c>
    </row>
    <row r="751" spans="1:2">
      <c r="A751" s="180" t="s">
        <v>2768</v>
      </c>
      <c r="B751" s="179" t="s">
        <v>2769</v>
      </c>
    </row>
    <row r="752" spans="1:2">
      <c r="A752" s="180" t="s">
        <v>2770</v>
      </c>
      <c r="B752" s="179" t="s">
        <v>2771</v>
      </c>
    </row>
    <row r="753" spans="1:2">
      <c r="A753" s="180" t="s">
        <v>2772</v>
      </c>
      <c r="B753" s="179" t="s">
        <v>2773</v>
      </c>
    </row>
    <row r="754" spans="1:2">
      <c r="A754" s="180" t="s">
        <v>2774</v>
      </c>
      <c r="B754" s="179" t="s">
        <v>2775</v>
      </c>
    </row>
    <row r="755" spans="1:2">
      <c r="A755" s="180" t="s">
        <v>2776</v>
      </c>
      <c r="B755" s="179" t="s">
        <v>2777</v>
      </c>
    </row>
    <row r="756" spans="1:2">
      <c r="A756" s="180" t="s">
        <v>2778</v>
      </c>
      <c r="B756" s="179" t="s">
        <v>2779</v>
      </c>
    </row>
    <row r="757" spans="1:2">
      <c r="A757" s="180" t="s">
        <v>2780</v>
      </c>
      <c r="B757" s="179" t="s">
        <v>2781</v>
      </c>
    </row>
    <row r="758" spans="1:2">
      <c r="A758" s="180" t="s">
        <v>2782</v>
      </c>
      <c r="B758" s="179" t="s">
        <v>2783</v>
      </c>
    </row>
    <row r="759" spans="1:2">
      <c r="A759" s="180" t="s">
        <v>2784</v>
      </c>
      <c r="B759" s="179" t="s">
        <v>2785</v>
      </c>
    </row>
    <row r="760" spans="1:2">
      <c r="A760" s="180" t="s">
        <v>2786</v>
      </c>
      <c r="B760" s="179" t="s">
        <v>2787</v>
      </c>
    </row>
    <row r="761" spans="1:2">
      <c r="A761" s="180" t="s">
        <v>2788</v>
      </c>
      <c r="B761" s="179" t="s">
        <v>2789</v>
      </c>
    </row>
    <row r="762" spans="1:2">
      <c r="A762" s="180" t="s">
        <v>2790</v>
      </c>
      <c r="B762" s="179" t="s">
        <v>2791</v>
      </c>
    </row>
    <row r="763" spans="1:2">
      <c r="A763" s="180" t="s">
        <v>2792</v>
      </c>
      <c r="B763" s="179" t="s">
        <v>2793</v>
      </c>
    </row>
    <row r="764" spans="1:2">
      <c r="A764" s="180" t="s">
        <v>2794</v>
      </c>
      <c r="B764" s="179" t="s">
        <v>2795</v>
      </c>
    </row>
    <row r="765" spans="1:2">
      <c r="A765" s="180" t="s">
        <v>2796</v>
      </c>
      <c r="B765" s="179" t="s">
        <v>2797</v>
      </c>
    </row>
    <row r="766" spans="1:2">
      <c r="A766" s="180" t="s">
        <v>2798</v>
      </c>
      <c r="B766" s="179" t="s">
        <v>2799</v>
      </c>
    </row>
    <row r="767" spans="1:2">
      <c r="A767" s="180" t="s">
        <v>2800</v>
      </c>
      <c r="B767" s="179" t="s">
        <v>2801</v>
      </c>
    </row>
    <row r="768" spans="1:2">
      <c r="A768" s="180" t="s">
        <v>2802</v>
      </c>
      <c r="B768" s="179" t="s">
        <v>2803</v>
      </c>
    </row>
    <row r="769" spans="1:2">
      <c r="A769" s="180" t="s">
        <v>2804</v>
      </c>
      <c r="B769" s="179" t="s">
        <v>2805</v>
      </c>
    </row>
    <row r="770" spans="1:2">
      <c r="A770" s="180" t="s">
        <v>2806</v>
      </c>
      <c r="B770" s="179" t="s">
        <v>2807</v>
      </c>
    </row>
    <row r="771" spans="1:2">
      <c r="A771" s="180" t="s">
        <v>2808</v>
      </c>
      <c r="B771" s="179" t="s">
        <v>2809</v>
      </c>
    </row>
    <row r="772" spans="1:2">
      <c r="A772" s="180" t="s">
        <v>2810</v>
      </c>
      <c r="B772" s="179" t="s">
        <v>2811</v>
      </c>
    </row>
    <row r="773" spans="1:2">
      <c r="A773" s="180" t="s">
        <v>2812</v>
      </c>
      <c r="B773" s="179" t="s">
        <v>2813</v>
      </c>
    </row>
    <row r="774" spans="1:2">
      <c r="A774" s="180" t="s">
        <v>2814</v>
      </c>
      <c r="B774" s="179" t="s">
        <v>2815</v>
      </c>
    </row>
    <row r="775" spans="1:2">
      <c r="A775" s="180" t="s">
        <v>2816</v>
      </c>
      <c r="B775" s="179" t="s">
        <v>2817</v>
      </c>
    </row>
    <row r="776" spans="1:2">
      <c r="A776" s="180" t="s">
        <v>2818</v>
      </c>
      <c r="B776" s="179" t="s">
        <v>2819</v>
      </c>
    </row>
    <row r="777" spans="1:2">
      <c r="A777" s="180" t="s">
        <v>2820</v>
      </c>
      <c r="B777" s="179" t="s">
        <v>2821</v>
      </c>
    </row>
    <row r="778" spans="1:2">
      <c r="A778" s="180" t="s">
        <v>2822</v>
      </c>
      <c r="B778" s="179" t="s">
        <v>2823</v>
      </c>
    </row>
    <row r="779" spans="1:2">
      <c r="A779" s="180" t="s">
        <v>2824</v>
      </c>
      <c r="B779" s="179" t="s">
        <v>2825</v>
      </c>
    </row>
    <row r="780" spans="1:2">
      <c r="A780" s="180" t="s">
        <v>2826</v>
      </c>
      <c r="B780" s="179" t="s">
        <v>2827</v>
      </c>
    </row>
    <row r="781" spans="1:2">
      <c r="A781" s="180" t="s">
        <v>2828</v>
      </c>
      <c r="B781" s="179" t="s">
        <v>2771</v>
      </c>
    </row>
    <row r="782" spans="1:2">
      <c r="A782" s="180" t="s">
        <v>2829</v>
      </c>
      <c r="B782" s="179" t="s">
        <v>2777</v>
      </c>
    </row>
    <row r="783" spans="1:2">
      <c r="A783" s="180" t="s">
        <v>2830</v>
      </c>
      <c r="B783" s="179" t="s">
        <v>2831</v>
      </c>
    </row>
    <row r="784" spans="1:2">
      <c r="A784" s="180" t="s">
        <v>2832</v>
      </c>
      <c r="B784" s="179" t="s">
        <v>2833</v>
      </c>
    </row>
    <row r="785" spans="1:2">
      <c r="A785" s="180" t="s">
        <v>2834</v>
      </c>
      <c r="B785" s="179" t="s">
        <v>2835</v>
      </c>
    </row>
    <row r="786" spans="1:2">
      <c r="A786" s="180" t="s">
        <v>2836</v>
      </c>
      <c r="B786" s="179" t="s">
        <v>2837</v>
      </c>
    </row>
    <row r="787" spans="1:2">
      <c r="A787" s="180" t="s">
        <v>2838</v>
      </c>
      <c r="B787" s="179" t="s">
        <v>3203</v>
      </c>
    </row>
    <row r="788" spans="1:2">
      <c r="A788" s="180" t="s">
        <v>2839</v>
      </c>
      <c r="B788" s="179" t="s">
        <v>2840</v>
      </c>
    </row>
    <row r="789" spans="1:2">
      <c r="A789" s="180" t="s">
        <v>2841</v>
      </c>
      <c r="B789" s="179" t="s">
        <v>2842</v>
      </c>
    </row>
    <row r="790" spans="1:2">
      <c r="A790" s="180" t="s">
        <v>2843</v>
      </c>
      <c r="B790" s="179" t="s">
        <v>2844</v>
      </c>
    </row>
    <row r="791" spans="1:2">
      <c r="A791" s="180" t="s">
        <v>2845</v>
      </c>
      <c r="B791" s="179" t="s">
        <v>2846</v>
      </c>
    </row>
    <row r="792" spans="1:2">
      <c r="A792" s="180" t="s">
        <v>2847</v>
      </c>
      <c r="B792" s="179" t="s">
        <v>2848</v>
      </c>
    </row>
    <row r="793" spans="1:2">
      <c r="A793" s="180" t="s">
        <v>2849</v>
      </c>
      <c r="B793" s="179" t="s">
        <v>2850</v>
      </c>
    </row>
    <row r="794" spans="1:2">
      <c r="A794" s="180" t="s">
        <v>2851</v>
      </c>
      <c r="B794" s="179" t="s">
        <v>2852</v>
      </c>
    </row>
    <row r="795" spans="1:2">
      <c r="A795" s="180" t="s">
        <v>2853</v>
      </c>
      <c r="B795" s="179" t="s">
        <v>2854</v>
      </c>
    </row>
    <row r="796" spans="1:2">
      <c r="A796" s="180" t="s">
        <v>2855</v>
      </c>
      <c r="B796" s="179" t="s">
        <v>2856</v>
      </c>
    </row>
    <row r="797" spans="1:2">
      <c r="A797" s="180" t="s">
        <v>2857</v>
      </c>
      <c r="B797" s="179" t="s">
        <v>2858</v>
      </c>
    </row>
    <row r="798" spans="1:2">
      <c r="A798" s="180" t="s">
        <v>2859</v>
      </c>
      <c r="B798" s="179" t="s">
        <v>2860</v>
      </c>
    </row>
    <row r="799" spans="1:2">
      <c r="A799" s="180" t="s">
        <v>2861</v>
      </c>
      <c r="B799" s="179" t="s">
        <v>2862</v>
      </c>
    </row>
    <row r="800" spans="1:2">
      <c r="A800" s="180" t="s">
        <v>2863</v>
      </c>
      <c r="B800" s="179" t="s">
        <v>2864</v>
      </c>
    </row>
    <row r="801" spans="1:2">
      <c r="A801" s="180" t="s">
        <v>2865</v>
      </c>
      <c r="B801" s="179" t="s">
        <v>2866</v>
      </c>
    </row>
    <row r="802" spans="1:2">
      <c r="A802" s="180" t="s">
        <v>2867</v>
      </c>
      <c r="B802" s="179" t="s">
        <v>2868</v>
      </c>
    </row>
    <row r="803" spans="1:2">
      <c r="A803" s="180" t="s">
        <v>2869</v>
      </c>
      <c r="B803" s="179" t="s">
        <v>2870</v>
      </c>
    </row>
    <row r="804" spans="1:2">
      <c r="A804" s="180" t="s">
        <v>2871</v>
      </c>
      <c r="B804" s="179" t="s">
        <v>2872</v>
      </c>
    </row>
    <row r="805" spans="1:2">
      <c r="A805" s="180" t="s">
        <v>2873</v>
      </c>
      <c r="B805" s="179" t="s">
        <v>2874</v>
      </c>
    </row>
    <row r="806" spans="1:2">
      <c r="A806" s="180" t="s">
        <v>2875</v>
      </c>
      <c r="B806" s="179" t="s">
        <v>2876</v>
      </c>
    </row>
    <row r="807" spans="1:2">
      <c r="A807" s="180" t="s">
        <v>2877</v>
      </c>
      <c r="B807" s="179" t="s">
        <v>2878</v>
      </c>
    </row>
    <row r="808" spans="1:2">
      <c r="A808" s="180" t="s">
        <v>2879</v>
      </c>
      <c r="B808" s="179" t="s">
        <v>2880</v>
      </c>
    </row>
    <row r="809" spans="1:2">
      <c r="A809" s="180" t="s">
        <v>2881</v>
      </c>
      <c r="B809" s="179" t="s">
        <v>2882</v>
      </c>
    </row>
    <row r="810" spans="1:2">
      <c r="A810" s="180" t="s">
        <v>2883</v>
      </c>
      <c r="B810" s="179" t="s">
        <v>2884</v>
      </c>
    </row>
    <row r="811" spans="1:2">
      <c r="A811" s="180" t="s">
        <v>2885</v>
      </c>
      <c r="B811" s="179" t="s">
        <v>2886</v>
      </c>
    </row>
    <row r="812" spans="1:2">
      <c r="A812" s="180" t="s">
        <v>2887</v>
      </c>
      <c r="B812" s="179" t="s">
        <v>2888</v>
      </c>
    </row>
    <row r="813" spans="1:2">
      <c r="A813" s="180" t="s">
        <v>2889</v>
      </c>
      <c r="B813" s="179" t="s">
        <v>2890</v>
      </c>
    </row>
    <row r="814" spans="1:2">
      <c r="A814" s="180" t="s">
        <v>2891</v>
      </c>
      <c r="B814" s="179" t="s">
        <v>2892</v>
      </c>
    </row>
    <row r="815" spans="1:2">
      <c r="A815" s="180" t="s">
        <v>2893</v>
      </c>
      <c r="B815" s="179" t="s">
        <v>2894</v>
      </c>
    </row>
    <row r="816" spans="1:2">
      <c r="A816" s="180" t="s">
        <v>2895</v>
      </c>
      <c r="B816" s="179" t="s">
        <v>2652</v>
      </c>
    </row>
    <row r="817" spans="1:2">
      <c r="A817" s="180" t="s">
        <v>2896</v>
      </c>
      <c r="B817" s="179" t="s">
        <v>2897</v>
      </c>
    </row>
    <row r="818" spans="1:2">
      <c r="A818" s="180" t="s">
        <v>2898</v>
      </c>
      <c r="B818" s="179" t="s">
        <v>2899</v>
      </c>
    </row>
    <row r="819" spans="1:2">
      <c r="A819" s="180" t="s">
        <v>2900</v>
      </c>
      <c r="B819" s="179" t="s">
        <v>2901</v>
      </c>
    </row>
    <row r="820" spans="1:2">
      <c r="A820" s="180" t="s">
        <v>2902</v>
      </c>
      <c r="B820" s="179" t="s">
        <v>2903</v>
      </c>
    </row>
    <row r="821" spans="1:2">
      <c r="A821" s="180" t="s">
        <v>2904</v>
      </c>
      <c r="B821" s="179" t="s">
        <v>2905</v>
      </c>
    </row>
    <row r="822" spans="1:2">
      <c r="A822" s="180" t="s">
        <v>2906</v>
      </c>
      <c r="B822" s="179" t="s">
        <v>2907</v>
      </c>
    </row>
    <row r="823" spans="1:2">
      <c r="A823" s="180" t="s">
        <v>2908</v>
      </c>
      <c r="B823" s="179" t="s">
        <v>2909</v>
      </c>
    </row>
    <row r="824" spans="1:2">
      <c r="A824" s="180" t="s">
        <v>2910</v>
      </c>
      <c r="B824" s="179" t="s">
        <v>2911</v>
      </c>
    </row>
    <row r="825" spans="1:2">
      <c r="A825" s="180" t="s">
        <v>3204</v>
      </c>
      <c r="B825" s="179" t="s">
        <v>3205</v>
      </c>
    </row>
    <row r="826" spans="1:2">
      <c r="A826" s="180" t="s">
        <v>2912</v>
      </c>
      <c r="B826" s="179" t="s">
        <v>2913</v>
      </c>
    </row>
    <row r="827" spans="1:2">
      <c r="A827" s="180" t="s">
        <v>2914</v>
      </c>
      <c r="B827" s="179" t="s">
        <v>2915</v>
      </c>
    </row>
    <row r="828" spans="1:2">
      <c r="A828" s="180" t="s">
        <v>2916</v>
      </c>
      <c r="B828" s="179" t="s">
        <v>2917</v>
      </c>
    </row>
    <row r="829" spans="1:2">
      <c r="A829" s="180" t="s">
        <v>3206</v>
      </c>
      <c r="B829" s="179" t="s">
        <v>3207</v>
      </c>
    </row>
    <row r="830" spans="1:2">
      <c r="A830" s="180" t="s">
        <v>3208</v>
      </c>
      <c r="B830" s="179" t="s">
        <v>3209</v>
      </c>
    </row>
    <row r="831" spans="1:2">
      <c r="A831" s="180" t="s">
        <v>3210</v>
      </c>
      <c r="B831" s="179" t="s">
        <v>3211</v>
      </c>
    </row>
    <row r="832" spans="1:2">
      <c r="A832" s="180" t="s">
        <v>3212</v>
      </c>
      <c r="B832" s="179" t="s">
        <v>3213</v>
      </c>
    </row>
    <row r="833" spans="1:2">
      <c r="A833" s="180" t="s">
        <v>3214</v>
      </c>
      <c r="B833" s="179" t="s">
        <v>3215</v>
      </c>
    </row>
    <row r="834" spans="1:2">
      <c r="A834" s="180" t="s">
        <v>3216</v>
      </c>
      <c r="B834" s="179" t="s">
        <v>3217</v>
      </c>
    </row>
    <row r="835" spans="1:2">
      <c r="A835" s="180" t="s">
        <v>3218</v>
      </c>
      <c r="B835" s="179" t="s">
        <v>3219</v>
      </c>
    </row>
    <row r="836" spans="1:2">
      <c r="A836" s="180" t="s">
        <v>3220</v>
      </c>
      <c r="B836" s="179" t="s">
        <v>3221</v>
      </c>
    </row>
    <row r="837" spans="1:2">
      <c r="A837" s="180" t="s">
        <v>3222</v>
      </c>
      <c r="B837" s="179" t="s">
        <v>3223</v>
      </c>
    </row>
    <row r="838" spans="1:2">
      <c r="A838" s="180" t="s">
        <v>3224</v>
      </c>
      <c r="B838" s="179" t="s">
        <v>3225</v>
      </c>
    </row>
    <row r="839" spans="1:2">
      <c r="A839" s="180" t="s">
        <v>3226</v>
      </c>
      <c r="B839" s="179" t="s">
        <v>3227</v>
      </c>
    </row>
    <row r="840" spans="1:2">
      <c r="A840" s="180" t="s">
        <v>3228</v>
      </c>
      <c r="B840" s="179" t="s">
        <v>3229</v>
      </c>
    </row>
    <row r="841" spans="1:2">
      <c r="A841" s="180" t="s">
        <v>3230</v>
      </c>
      <c r="B841" s="179" t="s">
        <v>3231</v>
      </c>
    </row>
    <row r="842" spans="1:2">
      <c r="A842" s="180" t="s">
        <v>3232</v>
      </c>
      <c r="B842" s="179" t="s">
        <v>3233</v>
      </c>
    </row>
    <row r="843" spans="1:2">
      <c r="A843" s="180" t="s">
        <v>3234</v>
      </c>
      <c r="B843" s="179" t="s">
        <v>3235</v>
      </c>
    </row>
    <row r="844" spans="1:2">
      <c r="A844" s="180" t="s">
        <v>3236</v>
      </c>
      <c r="B844" s="179" t="s">
        <v>3237</v>
      </c>
    </row>
    <row r="845" spans="1:2">
      <c r="A845" s="180" t="s">
        <v>3238</v>
      </c>
      <c r="B845" s="179" t="s">
        <v>3239</v>
      </c>
    </row>
    <row r="846" spans="1:2">
      <c r="A846" s="180" t="s">
        <v>3240</v>
      </c>
      <c r="B846" s="179" t="s">
        <v>2813</v>
      </c>
    </row>
    <row r="847" spans="1:2">
      <c r="A847" s="180" t="s">
        <v>3241</v>
      </c>
      <c r="B847" s="179" t="s">
        <v>3135</v>
      </c>
    </row>
    <row r="848" spans="1:2">
      <c r="A848" s="180" t="s">
        <v>3242</v>
      </c>
      <c r="B848" s="179" t="s">
        <v>3243</v>
      </c>
    </row>
    <row r="849" spans="1:2">
      <c r="A849" s="180" t="s">
        <v>3244</v>
      </c>
      <c r="B849" s="179" t="s">
        <v>3245</v>
      </c>
    </row>
    <row r="850" spans="1:2">
      <c r="A850" s="180" t="s">
        <v>3246</v>
      </c>
      <c r="B850" s="179" t="s">
        <v>3247</v>
      </c>
    </row>
    <row r="851" spans="1:2">
      <c r="A851" s="180" t="s">
        <v>3248</v>
      </c>
      <c r="B851" s="179" t="s">
        <v>3249</v>
      </c>
    </row>
    <row r="852" spans="1:2">
      <c r="A852" s="180" t="s">
        <v>3250</v>
      </c>
      <c r="B852" s="179" t="s">
        <v>3251</v>
      </c>
    </row>
    <row r="853" spans="1:2">
      <c r="A853" s="180" t="s">
        <v>3252</v>
      </c>
      <c r="B853" s="179" t="s">
        <v>3253</v>
      </c>
    </row>
    <row r="854" spans="1:2">
      <c r="A854" s="180" t="s">
        <v>3254</v>
      </c>
      <c r="B854" s="179" t="s">
        <v>2484</v>
      </c>
    </row>
    <row r="855" spans="1:2">
      <c r="A855" s="180" t="s">
        <v>3255</v>
      </c>
      <c r="B855" s="179" t="s">
        <v>3256</v>
      </c>
    </row>
    <row r="856" spans="1:2">
      <c r="A856" s="180" t="s">
        <v>3257</v>
      </c>
      <c r="B856" s="179" t="s">
        <v>3258</v>
      </c>
    </row>
    <row r="857" spans="1:2">
      <c r="A857" s="180" t="s">
        <v>3259</v>
      </c>
      <c r="B857" s="179" t="s">
        <v>3260</v>
      </c>
    </row>
    <row r="858" spans="1:2">
      <c r="A858" s="180" t="s">
        <v>3261</v>
      </c>
      <c r="B858" s="179" t="s">
        <v>3262</v>
      </c>
    </row>
    <row r="859" spans="1:2">
      <c r="A859" s="180" t="s">
        <v>3263</v>
      </c>
      <c r="B859" s="179" t="s">
        <v>3264</v>
      </c>
    </row>
    <row r="860" spans="1:2">
      <c r="A860" s="180" t="s">
        <v>3265</v>
      </c>
      <c r="B860" s="179" t="s">
        <v>3266</v>
      </c>
    </row>
    <row r="861" spans="1:2">
      <c r="A861" s="180" t="s">
        <v>3267</v>
      </c>
      <c r="B861" s="179" t="s">
        <v>3268</v>
      </c>
    </row>
    <row r="862" spans="1:2">
      <c r="A862" s="180" t="s">
        <v>3269</v>
      </c>
      <c r="B862" s="179" t="s">
        <v>3270</v>
      </c>
    </row>
    <row r="863" spans="1:2">
      <c r="A863" s="180" t="s">
        <v>3271</v>
      </c>
      <c r="B863" s="179" t="s">
        <v>3272</v>
      </c>
    </row>
    <row r="864" spans="1:2">
      <c r="A864" s="180" t="s">
        <v>3273</v>
      </c>
      <c r="B864" s="179" t="s">
        <v>3274</v>
      </c>
    </row>
    <row r="865" spans="1:2">
      <c r="A865" s="180" t="s">
        <v>3275</v>
      </c>
      <c r="B865" s="179" t="s">
        <v>3276</v>
      </c>
    </row>
    <row r="866" spans="1:2">
      <c r="A866" s="180" t="s">
        <v>3277</v>
      </c>
      <c r="B866" s="179" t="s">
        <v>3278</v>
      </c>
    </row>
    <row r="867" spans="1:2">
      <c r="A867" s="180" t="s">
        <v>3279</v>
      </c>
      <c r="B867" s="179" t="s">
        <v>3280</v>
      </c>
    </row>
    <row r="868" spans="1:2">
      <c r="A868" s="180" t="s">
        <v>3281</v>
      </c>
      <c r="B868" s="179" t="s">
        <v>3282</v>
      </c>
    </row>
    <row r="869" spans="1:2">
      <c r="A869" s="180" t="s">
        <v>3283</v>
      </c>
      <c r="B869" s="179" t="s">
        <v>3284</v>
      </c>
    </row>
    <row r="870" spans="1:2">
      <c r="A870" s="180" t="s">
        <v>3285</v>
      </c>
      <c r="B870" s="179" t="s">
        <v>3286</v>
      </c>
    </row>
    <row r="871" spans="1:2">
      <c r="A871" s="180" t="s">
        <v>3287</v>
      </c>
      <c r="B871" s="179" t="s">
        <v>3288</v>
      </c>
    </row>
    <row r="872" spans="1:2">
      <c r="A872" s="180" t="s">
        <v>3289</v>
      </c>
      <c r="B872" s="179" t="s">
        <v>3290</v>
      </c>
    </row>
    <row r="873" spans="1:2">
      <c r="A873" s="180" t="s">
        <v>3291</v>
      </c>
      <c r="B873" s="179" t="s">
        <v>3292</v>
      </c>
    </row>
    <row r="874" spans="1:2">
      <c r="A874" s="180" t="s">
        <v>3293</v>
      </c>
      <c r="B874" s="179" t="s">
        <v>3294</v>
      </c>
    </row>
    <row r="875" spans="1:2">
      <c r="A875" s="180" t="s">
        <v>3295</v>
      </c>
      <c r="B875" s="179" t="s">
        <v>3296</v>
      </c>
    </row>
    <row r="876" spans="1:2">
      <c r="A876" s="180" t="s">
        <v>3297</v>
      </c>
      <c r="B876" s="179" t="s">
        <v>3298</v>
      </c>
    </row>
    <row r="877" spans="1:2">
      <c r="A877" s="180" t="s">
        <v>3299</v>
      </c>
      <c r="B877" s="179" t="s">
        <v>3300</v>
      </c>
    </row>
    <row r="878" spans="1:2">
      <c r="A878" s="180" t="s">
        <v>3301</v>
      </c>
      <c r="B878" s="179" t="s">
        <v>3302</v>
      </c>
    </row>
    <row r="879" spans="1:2">
      <c r="A879" s="180" t="s">
        <v>3303</v>
      </c>
      <c r="B879" s="179" t="s">
        <v>3304</v>
      </c>
    </row>
    <row r="880" spans="1:2">
      <c r="A880" s="180" t="s">
        <v>3305</v>
      </c>
      <c r="B880" s="179" t="s">
        <v>3306</v>
      </c>
    </row>
    <row r="881" spans="1:2">
      <c r="A881" s="180" t="s">
        <v>3307</v>
      </c>
      <c r="B881" s="179" t="s">
        <v>3308</v>
      </c>
    </row>
    <row r="882" spans="1:2">
      <c r="A882" s="180" t="s">
        <v>3309</v>
      </c>
      <c r="B882" s="179" t="s">
        <v>3310</v>
      </c>
    </row>
    <row r="883" spans="1:2">
      <c r="A883" s="180" t="s">
        <v>3311</v>
      </c>
      <c r="B883" s="179" t="s">
        <v>3312</v>
      </c>
    </row>
    <row r="884" spans="1:2">
      <c r="A884" s="180" t="s">
        <v>3313</v>
      </c>
      <c r="B884" s="179" t="s">
        <v>3314</v>
      </c>
    </row>
    <row r="885" spans="1:2">
      <c r="A885" s="180" t="s">
        <v>3315</v>
      </c>
      <c r="B885" s="179" t="s">
        <v>3316</v>
      </c>
    </row>
    <row r="886" spans="1:2">
      <c r="A886" s="180" t="s">
        <v>3317</v>
      </c>
      <c r="B886" s="179" t="s">
        <v>3318</v>
      </c>
    </row>
    <row r="887" spans="1:2">
      <c r="A887" s="180" t="s">
        <v>3319</v>
      </c>
      <c r="B887" s="179" t="s">
        <v>3320</v>
      </c>
    </row>
    <row r="888" spans="1:2">
      <c r="A888" s="180" t="s">
        <v>3321</v>
      </c>
      <c r="B888" s="179" t="s">
        <v>3322</v>
      </c>
    </row>
    <row r="889" spans="1:2">
      <c r="A889" s="180" t="s">
        <v>3323</v>
      </c>
      <c r="B889" s="179" t="s">
        <v>3324</v>
      </c>
    </row>
    <row r="890" spans="1:2">
      <c r="A890" s="180" t="s">
        <v>3325</v>
      </c>
      <c r="B890" s="179" t="s">
        <v>3326</v>
      </c>
    </row>
    <row r="891" spans="1:2">
      <c r="A891" s="180" t="s">
        <v>3327</v>
      </c>
      <c r="B891" s="179" t="s">
        <v>3328</v>
      </c>
    </row>
    <row r="892" spans="1:2">
      <c r="A892" s="180" t="s">
        <v>3329</v>
      </c>
      <c r="B892" s="179" t="s">
        <v>3330</v>
      </c>
    </row>
    <row r="893" spans="1:2">
      <c r="A893" s="180" t="s">
        <v>3331</v>
      </c>
      <c r="B893" s="179" t="s">
        <v>3332</v>
      </c>
    </row>
    <row r="894" spans="1:2">
      <c r="A894" s="180" t="s">
        <v>3333</v>
      </c>
      <c r="B894" s="179" t="s">
        <v>3334</v>
      </c>
    </row>
    <row r="895" spans="1:2">
      <c r="A895" s="180" t="s">
        <v>3335</v>
      </c>
      <c r="B895" s="179" t="s">
        <v>3336</v>
      </c>
    </row>
    <row r="896" spans="1:2">
      <c r="A896" s="180" t="s">
        <v>3337</v>
      </c>
      <c r="B896" s="179" t="s">
        <v>3338</v>
      </c>
    </row>
    <row r="897" spans="1:2">
      <c r="A897" s="180" t="s">
        <v>3339</v>
      </c>
      <c r="B897" s="179" t="s">
        <v>3340</v>
      </c>
    </row>
    <row r="898" spans="1:2">
      <c r="A898" s="180" t="s">
        <v>3341</v>
      </c>
      <c r="B898" s="179" t="s">
        <v>3342</v>
      </c>
    </row>
    <row r="899" spans="1:2">
      <c r="A899" s="180" t="s">
        <v>3343</v>
      </c>
      <c r="B899" s="179" t="s">
        <v>3344</v>
      </c>
    </row>
    <row r="900" spans="1:2">
      <c r="A900" s="180" t="s">
        <v>3345</v>
      </c>
      <c r="B900" s="179" t="s">
        <v>3346</v>
      </c>
    </row>
    <row r="901" spans="1:2">
      <c r="A901" s="180" t="s">
        <v>3347</v>
      </c>
      <c r="B901" s="179" t="s">
        <v>3348</v>
      </c>
    </row>
    <row r="902" spans="1:2">
      <c r="A902" s="180" t="s">
        <v>3349</v>
      </c>
      <c r="B902" s="179" t="s">
        <v>3350</v>
      </c>
    </row>
    <row r="903" spans="1:2">
      <c r="A903" s="180" t="s">
        <v>3351</v>
      </c>
      <c r="B903" s="179" t="s">
        <v>3352</v>
      </c>
    </row>
    <row r="904" spans="1:2">
      <c r="A904" s="180" t="s">
        <v>3353</v>
      </c>
      <c r="B904" s="179" t="s">
        <v>3354</v>
      </c>
    </row>
    <row r="905" spans="1:2">
      <c r="A905" s="180" t="s">
        <v>3355</v>
      </c>
      <c r="B905" s="179" t="s">
        <v>3356</v>
      </c>
    </row>
    <row r="906" spans="1:2">
      <c r="A906" s="180" t="s">
        <v>3357</v>
      </c>
      <c r="B906" s="179" t="s">
        <v>3358</v>
      </c>
    </row>
    <row r="907" spans="1:2">
      <c r="A907" s="180" t="s">
        <v>3359</v>
      </c>
      <c r="B907" s="179" t="s">
        <v>3360</v>
      </c>
    </row>
    <row r="908" spans="1:2">
      <c r="A908" s="180" t="s">
        <v>3361</v>
      </c>
      <c r="B908" s="179" t="s">
        <v>3362</v>
      </c>
    </row>
    <row r="909" spans="1:2">
      <c r="A909" s="180" t="s">
        <v>3363</v>
      </c>
      <c r="B909" s="179" t="s">
        <v>3364</v>
      </c>
    </row>
    <row r="910" spans="1:2">
      <c r="A910" s="180" t="s">
        <v>3365</v>
      </c>
      <c r="B910" s="179" t="s">
        <v>3366</v>
      </c>
    </row>
    <row r="911" spans="1:2">
      <c r="A911" s="180" t="s">
        <v>3367</v>
      </c>
      <c r="B911" s="179" t="s">
        <v>1275</v>
      </c>
    </row>
    <row r="912" spans="1:2">
      <c r="A912" s="180" t="s">
        <v>3368</v>
      </c>
      <c r="B912" s="179" t="s">
        <v>2046</v>
      </c>
    </row>
    <row r="913" spans="1:2">
      <c r="A913" s="180" t="s">
        <v>3369</v>
      </c>
      <c r="B913" s="179" t="s">
        <v>3370</v>
      </c>
    </row>
    <row r="914" spans="1:2">
      <c r="A914" s="180" t="s">
        <v>3371</v>
      </c>
      <c r="B914" s="179" t="s">
        <v>2929</v>
      </c>
    </row>
    <row r="915" spans="1:2">
      <c r="A915" s="180" t="s">
        <v>3372</v>
      </c>
      <c r="B915" s="179" t="s">
        <v>1170</v>
      </c>
    </row>
    <row r="916" spans="1:2">
      <c r="A916" s="180" t="s">
        <v>3373</v>
      </c>
      <c r="B916" s="179" t="s">
        <v>1265</v>
      </c>
    </row>
    <row r="917" spans="1:2">
      <c r="A917" s="180" t="s">
        <v>3374</v>
      </c>
      <c r="B917" s="179" t="s">
        <v>3375</v>
      </c>
    </row>
    <row r="918" spans="1:2">
      <c r="A918" s="180" t="s">
        <v>3376</v>
      </c>
      <c r="B918" s="179" t="s">
        <v>3377</v>
      </c>
    </row>
    <row r="919" spans="1:2">
      <c r="A919" s="175" t="s">
        <v>144</v>
      </c>
      <c r="B919" s="176" t="s">
        <v>1745</v>
      </c>
    </row>
    <row r="920" spans="1:2">
      <c r="A920" s="180" t="s">
        <v>860</v>
      </c>
      <c r="B920" s="179" t="s">
        <v>861</v>
      </c>
    </row>
    <row r="921" spans="1:2">
      <c r="A921" s="180" t="s">
        <v>3378</v>
      </c>
      <c r="B921" s="179" t="s">
        <v>3379</v>
      </c>
    </row>
    <row r="922" spans="1:2">
      <c r="A922" s="180" t="s">
        <v>862</v>
      </c>
      <c r="B922" s="179" t="s">
        <v>863</v>
      </c>
    </row>
    <row r="923" spans="1:2">
      <c r="A923" s="180" t="s">
        <v>864</v>
      </c>
      <c r="B923" s="179" t="s">
        <v>865</v>
      </c>
    </row>
    <row r="924" spans="1:2">
      <c r="A924" s="180" t="s">
        <v>1566</v>
      </c>
      <c r="B924" s="179" t="s">
        <v>1567</v>
      </c>
    </row>
    <row r="925" spans="1:2">
      <c r="A925" s="180" t="s">
        <v>3380</v>
      </c>
      <c r="B925" s="179" t="s">
        <v>3381</v>
      </c>
    </row>
    <row r="926" spans="1:2">
      <c r="A926" s="180" t="s">
        <v>3382</v>
      </c>
      <c r="B926" s="179" t="s">
        <v>3225</v>
      </c>
    </row>
    <row r="927" spans="1:2">
      <c r="A927" s="180" t="s">
        <v>3383</v>
      </c>
      <c r="B927" s="179" t="s">
        <v>3384</v>
      </c>
    </row>
    <row r="928" spans="1:2">
      <c r="A928" s="180" t="s">
        <v>3385</v>
      </c>
      <c r="B928" s="179" t="s">
        <v>3386</v>
      </c>
    </row>
    <row r="929" spans="1:2">
      <c r="A929" s="180" t="s">
        <v>3387</v>
      </c>
      <c r="B929" s="179" t="s">
        <v>3388</v>
      </c>
    </row>
    <row r="930" spans="1:2">
      <c r="A930" s="180" t="s">
        <v>3389</v>
      </c>
      <c r="B930" s="179" t="s">
        <v>3390</v>
      </c>
    </row>
    <row r="931" spans="1:2">
      <c r="A931" s="175" t="s">
        <v>1747</v>
      </c>
      <c r="B931" s="176" t="s">
        <v>1920</v>
      </c>
    </row>
    <row r="932" spans="1:2">
      <c r="A932" s="180" t="s">
        <v>2918</v>
      </c>
      <c r="B932" s="179" t="s">
        <v>2919</v>
      </c>
    </row>
    <row r="933" spans="1:2">
      <c r="A933" s="180" t="s">
        <v>2920</v>
      </c>
      <c r="B933" s="179" t="s">
        <v>2921</v>
      </c>
    </row>
    <row r="934" spans="1:2">
      <c r="A934" s="180" t="s">
        <v>2923</v>
      </c>
      <c r="B934" s="179" t="s">
        <v>2922</v>
      </c>
    </row>
    <row r="935" spans="1:2">
      <c r="A935" s="180" t="s">
        <v>2924</v>
      </c>
      <c r="B935" s="179" t="s">
        <v>2925</v>
      </c>
    </row>
    <row r="936" spans="1:2">
      <c r="A936" s="180" t="s">
        <v>2926</v>
      </c>
      <c r="B936" s="179" t="s">
        <v>2927</v>
      </c>
    </row>
    <row r="937" spans="1:2">
      <c r="A937" s="180" t="s">
        <v>3391</v>
      </c>
      <c r="B937" s="179" t="s">
        <v>3392</v>
      </c>
    </row>
    <row r="938" spans="1:2">
      <c r="A938" s="180" t="s">
        <v>3393</v>
      </c>
      <c r="B938" s="179" t="s">
        <v>3394</v>
      </c>
    </row>
    <row r="939" spans="1:2">
      <c r="A939" s="180" t="s">
        <v>3395</v>
      </c>
      <c r="B939" s="179" t="s">
        <v>3396</v>
      </c>
    </row>
    <row r="940" spans="1:2">
      <c r="A940" s="175" t="s">
        <v>233</v>
      </c>
      <c r="B940" s="176" t="s">
        <v>1653</v>
      </c>
    </row>
    <row r="941" spans="1:2">
      <c r="A941" s="180" t="s">
        <v>866</v>
      </c>
      <c r="B941" s="179" t="s">
        <v>257</v>
      </c>
    </row>
    <row r="942" spans="1:2">
      <c r="A942" s="180" t="s">
        <v>867</v>
      </c>
      <c r="B942" s="179" t="s">
        <v>258</v>
      </c>
    </row>
    <row r="943" spans="1:2">
      <c r="A943" s="180" t="s">
        <v>868</v>
      </c>
      <c r="B943" s="179" t="s">
        <v>869</v>
      </c>
    </row>
    <row r="944" spans="1:2">
      <c r="A944" s="180" t="s">
        <v>870</v>
      </c>
      <c r="B944" s="179" t="s">
        <v>871</v>
      </c>
    </row>
    <row r="945" spans="1:2">
      <c r="A945" s="180" t="s">
        <v>1568</v>
      </c>
      <c r="B945" s="179" t="s">
        <v>1172</v>
      </c>
    </row>
    <row r="946" spans="1:2">
      <c r="A946" s="180" t="s">
        <v>2928</v>
      </c>
      <c r="B946" s="179" t="s">
        <v>2929</v>
      </c>
    </row>
    <row r="947" spans="1:2">
      <c r="A947" s="180" t="s">
        <v>2930</v>
      </c>
      <c r="B947" s="179" t="s">
        <v>1179</v>
      </c>
    </row>
    <row r="948" spans="1:2">
      <c r="A948" s="175" t="s">
        <v>684</v>
      </c>
      <c r="B948" s="176" t="s">
        <v>685</v>
      </c>
    </row>
    <row r="949" spans="1:2">
      <c r="A949" s="180" t="s">
        <v>872</v>
      </c>
      <c r="B949" s="179" t="s">
        <v>873</v>
      </c>
    </row>
    <row r="950" spans="1:2">
      <c r="A950" s="180" t="s">
        <v>874</v>
      </c>
      <c r="B950" s="179" t="s">
        <v>875</v>
      </c>
    </row>
    <row r="951" spans="1:2">
      <c r="A951" s="180" t="s">
        <v>876</v>
      </c>
      <c r="B951" s="179" t="s">
        <v>877</v>
      </c>
    </row>
    <row r="952" spans="1:2">
      <c r="A952" s="180" t="s">
        <v>2931</v>
      </c>
      <c r="B952" s="179" t="s">
        <v>2932</v>
      </c>
    </row>
    <row r="953" spans="1:2">
      <c r="A953" s="180" t="s">
        <v>2933</v>
      </c>
      <c r="B953" s="179" t="s">
        <v>2934</v>
      </c>
    </row>
    <row r="954" spans="1:2">
      <c r="A954" s="175" t="s">
        <v>686</v>
      </c>
      <c r="B954" s="176" t="s">
        <v>687</v>
      </c>
    </row>
    <row r="955" spans="1:2">
      <c r="A955" s="180" t="s">
        <v>878</v>
      </c>
      <c r="B955" s="179" t="s">
        <v>879</v>
      </c>
    </row>
    <row r="956" spans="1:2">
      <c r="A956" s="174" t="s">
        <v>537</v>
      </c>
      <c r="B956" s="178" t="s">
        <v>937</v>
      </c>
    </row>
    <row r="957" spans="1:2">
      <c r="A957" s="175" t="s">
        <v>694</v>
      </c>
      <c r="B957" s="176" t="s">
        <v>1746</v>
      </c>
    </row>
    <row r="958" spans="1:2">
      <c r="A958" s="180" t="s">
        <v>880</v>
      </c>
      <c r="B958" s="179" t="s">
        <v>881</v>
      </c>
    </row>
    <row r="959" spans="1:2">
      <c r="A959" s="180" t="s">
        <v>3397</v>
      </c>
      <c r="B959" s="179" t="s">
        <v>881</v>
      </c>
    </row>
    <row r="960" spans="1:2">
      <c r="A960" s="180" t="s">
        <v>882</v>
      </c>
      <c r="B960" s="179" t="s">
        <v>883</v>
      </c>
    </row>
    <row r="961" spans="1:2">
      <c r="A961" s="180" t="s">
        <v>884</v>
      </c>
      <c r="B961" s="179" t="s">
        <v>885</v>
      </c>
    </row>
    <row r="962" spans="1:2">
      <c r="A962" s="180" t="s">
        <v>886</v>
      </c>
      <c r="B962" s="179" t="s">
        <v>887</v>
      </c>
    </row>
    <row r="963" spans="1:2">
      <c r="A963" s="180" t="s">
        <v>888</v>
      </c>
      <c r="B963" s="179" t="s">
        <v>889</v>
      </c>
    </row>
    <row r="964" spans="1:2">
      <c r="A964" s="180" t="s">
        <v>890</v>
      </c>
      <c r="B964" s="179" t="s">
        <v>891</v>
      </c>
    </row>
    <row r="965" spans="1:2">
      <c r="A965" s="180" t="s">
        <v>892</v>
      </c>
      <c r="B965" s="179" t="s">
        <v>893</v>
      </c>
    </row>
    <row r="966" spans="1:2">
      <c r="A966" s="180" t="s">
        <v>894</v>
      </c>
      <c r="B966" s="179" t="s">
        <v>895</v>
      </c>
    </row>
    <row r="967" spans="1:2">
      <c r="A967" s="180" t="s">
        <v>896</v>
      </c>
      <c r="B967" s="179" t="s">
        <v>897</v>
      </c>
    </row>
    <row r="968" spans="1:2">
      <c r="A968" s="180" t="s">
        <v>898</v>
      </c>
      <c r="B968" s="179" t="s">
        <v>899</v>
      </c>
    </row>
    <row r="969" spans="1:2">
      <c r="A969" s="180" t="s">
        <v>900</v>
      </c>
      <c r="B969" s="179" t="s">
        <v>901</v>
      </c>
    </row>
    <row r="970" spans="1:2">
      <c r="A970" s="180" t="s">
        <v>902</v>
      </c>
      <c r="B970" s="179" t="s">
        <v>903</v>
      </c>
    </row>
    <row r="971" spans="1:2">
      <c r="A971" s="180" t="s">
        <v>904</v>
      </c>
      <c r="B971" s="179" t="s">
        <v>905</v>
      </c>
    </row>
    <row r="972" spans="1:2">
      <c r="A972" s="180" t="s">
        <v>906</v>
      </c>
      <c r="B972" s="179" t="s">
        <v>907</v>
      </c>
    </row>
    <row r="973" spans="1:2">
      <c r="A973" s="180" t="s">
        <v>908</v>
      </c>
      <c r="B973" s="179" t="s">
        <v>909</v>
      </c>
    </row>
    <row r="974" spans="1:2">
      <c r="A974" s="180" t="s">
        <v>910</v>
      </c>
      <c r="B974" s="179" t="s">
        <v>911</v>
      </c>
    </row>
    <row r="975" spans="1:2">
      <c r="A975" s="180" t="s">
        <v>912</v>
      </c>
      <c r="B975" s="179" t="s">
        <v>913</v>
      </c>
    </row>
    <row r="976" spans="1:2">
      <c r="A976" s="180" t="s">
        <v>914</v>
      </c>
      <c r="B976" s="179" t="s">
        <v>915</v>
      </c>
    </row>
    <row r="977" spans="1:2">
      <c r="A977" s="180" t="s">
        <v>916</v>
      </c>
      <c r="B977" s="179" t="s">
        <v>917</v>
      </c>
    </row>
    <row r="978" spans="1:2">
      <c r="A978" s="180" t="s">
        <v>918</v>
      </c>
      <c r="B978" s="179" t="s">
        <v>919</v>
      </c>
    </row>
    <row r="979" spans="1:2">
      <c r="A979" s="180" t="s">
        <v>920</v>
      </c>
      <c r="B979" s="179" t="s">
        <v>921</v>
      </c>
    </row>
    <row r="980" spans="1:2">
      <c r="A980" s="180" t="s">
        <v>922</v>
      </c>
      <c r="B980" s="179" t="s">
        <v>923</v>
      </c>
    </row>
    <row r="981" spans="1:2">
      <c r="A981" s="180" t="s">
        <v>924</v>
      </c>
      <c r="B981" s="179" t="s">
        <v>925</v>
      </c>
    </row>
    <row r="982" spans="1:2">
      <c r="A982" s="180" t="s">
        <v>926</v>
      </c>
      <c r="B982" s="179" t="s">
        <v>927</v>
      </c>
    </row>
    <row r="983" spans="1:2">
      <c r="A983" s="180" t="s">
        <v>1569</v>
      </c>
      <c r="B983" s="179" t="s">
        <v>1570</v>
      </c>
    </row>
    <row r="984" spans="1:2">
      <c r="A984" s="180" t="s">
        <v>1571</v>
      </c>
      <c r="B984" s="179" t="s">
        <v>1572</v>
      </c>
    </row>
    <row r="985" spans="1:2">
      <c r="A985" s="180" t="s">
        <v>1573</v>
      </c>
      <c r="B985" s="179" t="s">
        <v>1574</v>
      </c>
    </row>
    <row r="986" spans="1:2">
      <c r="A986" s="180" t="s">
        <v>1575</v>
      </c>
      <c r="B986" s="179" t="s">
        <v>1576</v>
      </c>
    </row>
    <row r="987" spans="1:2">
      <c r="A987" s="180" t="s">
        <v>1577</v>
      </c>
      <c r="B987" s="179" t="s">
        <v>1578</v>
      </c>
    </row>
    <row r="988" spans="1:2">
      <c r="A988" s="180" t="s">
        <v>1579</v>
      </c>
      <c r="B988" s="179" t="s">
        <v>1580</v>
      </c>
    </row>
    <row r="989" spans="1:2">
      <c r="A989" s="180" t="s">
        <v>1581</v>
      </c>
      <c r="B989" s="179" t="s">
        <v>1582</v>
      </c>
    </row>
    <row r="990" spans="1:2">
      <c r="A990" s="180" t="s">
        <v>1583</v>
      </c>
      <c r="B990" s="179" t="s">
        <v>1584</v>
      </c>
    </row>
    <row r="991" spans="1:2">
      <c r="A991" s="180" t="s">
        <v>1585</v>
      </c>
      <c r="B991" s="179" t="s">
        <v>1586</v>
      </c>
    </row>
    <row r="992" spans="1:2">
      <c r="A992" s="180" t="s">
        <v>1587</v>
      </c>
      <c r="B992" s="179" t="s">
        <v>1588</v>
      </c>
    </row>
    <row r="993" spans="1:2">
      <c r="A993" s="180" t="s">
        <v>1589</v>
      </c>
      <c r="B993" s="179" t="s">
        <v>1590</v>
      </c>
    </row>
    <row r="994" spans="1:2">
      <c r="A994" s="180" t="s">
        <v>1591</v>
      </c>
      <c r="B994" s="179" t="s">
        <v>1592</v>
      </c>
    </row>
    <row r="995" spans="1:2">
      <c r="A995" s="180" t="s">
        <v>1593</v>
      </c>
      <c r="B995" s="179" t="s">
        <v>1594</v>
      </c>
    </row>
    <row r="996" spans="1:2">
      <c r="A996" s="180" t="s">
        <v>1595</v>
      </c>
      <c r="B996" s="179" t="s">
        <v>1596</v>
      </c>
    </row>
    <row r="997" spans="1:2">
      <c r="A997" s="180" t="s">
        <v>1597</v>
      </c>
      <c r="B997" s="179" t="s">
        <v>1598</v>
      </c>
    </row>
    <row r="998" spans="1:2">
      <c r="A998" s="180" t="s">
        <v>1599</v>
      </c>
      <c r="B998" s="179" t="s">
        <v>1600</v>
      </c>
    </row>
    <row r="999" spans="1:2">
      <c r="A999" s="180" t="s">
        <v>1601</v>
      </c>
      <c r="B999" s="179" t="s">
        <v>1602</v>
      </c>
    </row>
    <row r="1000" spans="1:2">
      <c r="A1000" s="180" t="s">
        <v>1603</v>
      </c>
      <c r="B1000" s="179" t="s">
        <v>1604</v>
      </c>
    </row>
    <row r="1001" spans="1:2">
      <c r="A1001" s="180" t="s">
        <v>1605</v>
      </c>
      <c r="B1001" s="179" t="s">
        <v>1606</v>
      </c>
    </row>
    <row r="1002" spans="1:2">
      <c r="A1002" s="180" t="s">
        <v>1607</v>
      </c>
      <c r="B1002" s="179" t="s">
        <v>1608</v>
      </c>
    </row>
    <row r="1003" spans="1:2">
      <c r="A1003" s="180" t="s">
        <v>1609</v>
      </c>
      <c r="B1003" s="179" t="s">
        <v>1610</v>
      </c>
    </row>
    <row r="1004" spans="1:2">
      <c r="A1004" s="180" t="s">
        <v>1611</v>
      </c>
      <c r="B1004" s="179" t="s">
        <v>1612</v>
      </c>
    </row>
    <row r="1005" spans="1:2">
      <c r="A1005" s="180" t="s">
        <v>1613</v>
      </c>
      <c r="B1005" s="179" t="s">
        <v>1614</v>
      </c>
    </row>
    <row r="1006" spans="1:2">
      <c r="A1006" s="180" t="s">
        <v>2935</v>
      </c>
      <c r="B1006" s="179" t="s">
        <v>2936</v>
      </c>
    </row>
    <row r="1007" spans="1:2">
      <c r="A1007" s="180" t="s">
        <v>2937</v>
      </c>
      <c r="B1007" s="179" t="s">
        <v>2938</v>
      </c>
    </row>
    <row r="1008" spans="1:2">
      <c r="A1008" s="180" t="s">
        <v>2939</v>
      </c>
      <c r="B1008" s="179" t="s">
        <v>2940</v>
      </c>
    </row>
    <row r="1009" spans="1:2">
      <c r="A1009" s="180" t="s">
        <v>2941</v>
      </c>
      <c r="B1009" s="179" t="s">
        <v>2942</v>
      </c>
    </row>
    <row r="1010" spans="1:2">
      <c r="A1010" s="180" t="s">
        <v>2943</v>
      </c>
      <c r="B1010" s="179" t="s">
        <v>2944</v>
      </c>
    </row>
    <row r="1011" spans="1:2">
      <c r="A1011" s="180" t="s">
        <v>2945</v>
      </c>
      <c r="B1011" s="179" t="s">
        <v>2946</v>
      </c>
    </row>
    <row r="1012" spans="1:2">
      <c r="A1012" s="180" t="s">
        <v>2947</v>
      </c>
      <c r="B1012" s="179" t="s">
        <v>2948</v>
      </c>
    </row>
    <row r="1013" spans="1:2">
      <c r="A1013" s="180" t="s">
        <v>2949</v>
      </c>
      <c r="B1013" s="179" t="s">
        <v>2950</v>
      </c>
    </row>
    <row r="1014" spans="1:2">
      <c r="A1014" s="180" t="s">
        <v>2951</v>
      </c>
      <c r="B1014" s="179" t="s">
        <v>2952</v>
      </c>
    </row>
    <row r="1015" spans="1:2">
      <c r="A1015" s="180" t="s">
        <v>2953</v>
      </c>
      <c r="B1015" s="179" t="s">
        <v>2954</v>
      </c>
    </row>
    <row r="1016" spans="1:2">
      <c r="A1016" s="180" t="s">
        <v>2955</v>
      </c>
      <c r="B1016" s="179" t="s">
        <v>2956</v>
      </c>
    </row>
    <row r="1017" spans="1:2">
      <c r="A1017" s="180" t="s">
        <v>2957</v>
      </c>
      <c r="B1017" s="179" t="s">
        <v>2958</v>
      </c>
    </row>
    <row r="1018" spans="1:2">
      <c r="A1018" s="180" t="s">
        <v>2959</v>
      </c>
      <c r="B1018" s="179" t="s">
        <v>2960</v>
      </c>
    </row>
    <row r="1019" spans="1:2">
      <c r="A1019" s="180" t="s">
        <v>2961</v>
      </c>
      <c r="B1019" s="179" t="s">
        <v>2962</v>
      </c>
    </row>
    <row r="1020" spans="1:2">
      <c r="A1020" s="180" t="s">
        <v>2963</v>
      </c>
      <c r="B1020" s="179" t="s">
        <v>2964</v>
      </c>
    </row>
    <row r="1021" spans="1:2">
      <c r="A1021" s="180" t="s">
        <v>2965</v>
      </c>
      <c r="B1021" s="179" t="s">
        <v>2966</v>
      </c>
    </row>
    <row r="1022" spans="1:2">
      <c r="A1022" s="180" t="s">
        <v>2967</v>
      </c>
      <c r="B1022" s="179" t="s">
        <v>2968</v>
      </c>
    </row>
    <row r="1023" spans="1:2">
      <c r="A1023" s="180" t="s">
        <v>2969</v>
      </c>
      <c r="B1023" s="179" t="s">
        <v>2970</v>
      </c>
    </row>
    <row r="1024" spans="1:2">
      <c r="A1024" s="180" t="s">
        <v>2971</v>
      </c>
      <c r="B1024" s="179" t="s">
        <v>2972</v>
      </c>
    </row>
    <row r="1025" spans="1:2">
      <c r="A1025" s="180" t="s">
        <v>2973</v>
      </c>
      <c r="B1025" s="179" t="s">
        <v>2974</v>
      </c>
    </row>
    <row r="1026" spans="1:2">
      <c r="A1026" s="180" t="s">
        <v>2975</v>
      </c>
      <c r="B1026" s="179" t="s">
        <v>2976</v>
      </c>
    </row>
    <row r="1027" spans="1:2">
      <c r="A1027" s="180" t="s">
        <v>2977</v>
      </c>
      <c r="B1027" s="179" t="s">
        <v>2978</v>
      </c>
    </row>
    <row r="1028" spans="1:2">
      <c r="A1028" s="180" t="s">
        <v>2979</v>
      </c>
      <c r="B1028" s="179" t="s">
        <v>2980</v>
      </c>
    </row>
    <row r="1029" spans="1:2">
      <c r="A1029" s="180" t="s">
        <v>2981</v>
      </c>
      <c r="B1029" s="179" t="s">
        <v>2982</v>
      </c>
    </row>
    <row r="1030" spans="1:2">
      <c r="A1030" s="180" t="s">
        <v>2983</v>
      </c>
      <c r="B1030" s="179" t="s">
        <v>2984</v>
      </c>
    </row>
    <row r="1031" spans="1:2">
      <c r="A1031" s="180" t="s">
        <v>2985</v>
      </c>
      <c r="B1031" s="179" t="s">
        <v>2986</v>
      </c>
    </row>
    <row r="1032" spans="1:2">
      <c r="A1032" s="180" t="s">
        <v>2987</v>
      </c>
      <c r="B1032" s="179" t="s">
        <v>3398</v>
      </c>
    </row>
    <row r="1033" spans="1:2">
      <c r="A1033" s="180" t="s">
        <v>2988</v>
      </c>
      <c r="B1033" s="179" t="s">
        <v>2989</v>
      </c>
    </row>
    <row r="1034" spans="1:2">
      <c r="A1034" s="180" t="s">
        <v>2990</v>
      </c>
      <c r="B1034" s="179" t="s">
        <v>2991</v>
      </c>
    </row>
    <row r="1035" spans="1:2">
      <c r="A1035" s="180" t="s">
        <v>3399</v>
      </c>
      <c r="B1035" s="179" t="s">
        <v>3400</v>
      </c>
    </row>
    <row r="1036" spans="1:2">
      <c r="A1036" s="180" t="s">
        <v>2992</v>
      </c>
      <c r="B1036" s="179" t="s">
        <v>2993</v>
      </c>
    </row>
    <row r="1037" spans="1:2">
      <c r="A1037" s="180" t="s">
        <v>2994</v>
      </c>
      <c r="B1037" s="179" t="s">
        <v>1594</v>
      </c>
    </row>
    <row r="1038" spans="1:2">
      <c r="A1038" s="180" t="s">
        <v>2995</v>
      </c>
      <c r="B1038" s="179" t="s">
        <v>2996</v>
      </c>
    </row>
    <row r="1039" spans="1:2">
      <c r="A1039" s="180" t="s">
        <v>2997</v>
      </c>
      <c r="B1039" s="179" t="s">
        <v>2998</v>
      </c>
    </row>
    <row r="1040" spans="1:2">
      <c r="A1040" s="180" t="s">
        <v>3000</v>
      </c>
      <c r="B1040" s="179" t="s">
        <v>3001</v>
      </c>
    </row>
    <row r="1041" spans="1:2">
      <c r="A1041" s="180" t="s">
        <v>3002</v>
      </c>
      <c r="B1041" s="179" t="s">
        <v>2991</v>
      </c>
    </row>
    <row r="1042" spans="1:2">
      <c r="A1042" s="180" t="s">
        <v>3003</v>
      </c>
      <c r="B1042" s="179" t="s">
        <v>2999</v>
      </c>
    </row>
    <row r="1043" spans="1:2">
      <c r="A1043" s="180" t="s">
        <v>3004</v>
      </c>
      <c r="B1043" s="179" t="s">
        <v>3005</v>
      </c>
    </row>
    <row r="1044" spans="1:2">
      <c r="A1044" s="180" t="s">
        <v>3006</v>
      </c>
      <c r="B1044" s="179" t="s">
        <v>3007</v>
      </c>
    </row>
    <row r="1045" spans="1:2">
      <c r="A1045" s="180" t="s">
        <v>3008</v>
      </c>
      <c r="B1045" s="179" t="s">
        <v>3009</v>
      </c>
    </row>
    <row r="1046" spans="1:2">
      <c r="A1046" s="180" t="s">
        <v>3010</v>
      </c>
      <c r="B1046" s="179" t="s">
        <v>3011</v>
      </c>
    </row>
    <row r="1047" spans="1:2">
      <c r="A1047" s="180" t="s">
        <v>3012</v>
      </c>
      <c r="B1047" s="179" t="s">
        <v>3013</v>
      </c>
    </row>
    <row r="1048" spans="1:2">
      <c r="A1048" s="180" t="s">
        <v>3014</v>
      </c>
      <c r="B1048" s="179" t="s">
        <v>3015</v>
      </c>
    </row>
    <row r="1049" spans="1:2">
      <c r="A1049" s="180" t="s">
        <v>3016</v>
      </c>
      <c r="B1049" s="179" t="s">
        <v>3017</v>
      </c>
    </row>
    <row r="1050" spans="1:2">
      <c r="A1050" s="180" t="s">
        <v>3018</v>
      </c>
      <c r="B1050" s="179" t="s">
        <v>3019</v>
      </c>
    </row>
    <row r="1051" spans="1:2">
      <c r="A1051" s="180" t="s">
        <v>3401</v>
      </c>
      <c r="B1051" s="179" t="s">
        <v>3402</v>
      </c>
    </row>
    <row r="1052" spans="1:2">
      <c r="A1052" s="180" t="s">
        <v>3403</v>
      </c>
      <c r="B1052" s="179" t="s">
        <v>3404</v>
      </c>
    </row>
    <row r="1053" spans="1:2">
      <c r="A1053" s="180" t="s">
        <v>3405</v>
      </c>
      <c r="B1053" s="179" t="s">
        <v>3406</v>
      </c>
    </row>
    <row r="1054" spans="1:2">
      <c r="A1054" s="180" t="s">
        <v>3407</v>
      </c>
      <c r="B1054" s="179" t="s">
        <v>3408</v>
      </c>
    </row>
    <row r="1055" spans="1:2">
      <c r="A1055" s="180" t="s">
        <v>3409</v>
      </c>
      <c r="B1055" s="179" t="s">
        <v>3410</v>
      </c>
    </row>
    <row r="1056" spans="1:2">
      <c r="A1056" s="180" t="s">
        <v>3411</v>
      </c>
      <c r="B1056" s="179" t="s">
        <v>3412</v>
      </c>
    </row>
    <row r="1057" spans="1:2">
      <c r="A1057" s="180" t="s">
        <v>3413</v>
      </c>
      <c r="B1057" s="179" t="s">
        <v>3414</v>
      </c>
    </row>
    <row r="1058" spans="1:2">
      <c r="A1058" s="180" t="s">
        <v>3415</v>
      </c>
      <c r="B1058" s="179" t="s">
        <v>3416</v>
      </c>
    </row>
    <row r="1059" spans="1:2">
      <c r="A1059" s="180" t="s">
        <v>3417</v>
      </c>
      <c r="B1059" s="179" t="s">
        <v>2813</v>
      </c>
    </row>
    <row r="1060" spans="1:2">
      <c r="A1060" s="180" t="s">
        <v>3418</v>
      </c>
      <c r="B1060" s="179" t="s">
        <v>3419</v>
      </c>
    </row>
    <row r="1061" spans="1:2">
      <c r="A1061" s="180" t="s">
        <v>3420</v>
      </c>
      <c r="B1061" s="179" t="s">
        <v>3421</v>
      </c>
    </row>
    <row r="1062" spans="1:2">
      <c r="A1062" s="180" t="s">
        <v>3422</v>
      </c>
      <c r="B1062" s="179" t="s">
        <v>3423</v>
      </c>
    </row>
    <row r="1063" spans="1:2">
      <c r="A1063" s="180" t="s">
        <v>3424</v>
      </c>
      <c r="B1063" s="179" t="s">
        <v>3425</v>
      </c>
    </row>
    <row r="1064" spans="1:2">
      <c r="A1064" s="180" t="s">
        <v>3426</v>
      </c>
      <c r="B1064" s="179" t="s">
        <v>3427</v>
      </c>
    </row>
    <row r="1065" spans="1:2">
      <c r="A1065" s="180" t="s">
        <v>3428</v>
      </c>
      <c r="B1065" s="179" t="s">
        <v>1267</v>
      </c>
    </row>
    <row r="1066" spans="1:2">
      <c r="A1066" s="180" t="s">
        <v>3429</v>
      </c>
      <c r="B1066" s="179" t="s">
        <v>3430</v>
      </c>
    </row>
    <row r="1067" spans="1:2">
      <c r="A1067" s="180" t="s">
        <v>3431</v>
      </c>
      <c r="B1067" s="179" t="s">
        <v>3432</v>
      </c>
    </row>
    <row r="1068" spans="1:2">
      <c r="A1068" s="180" t="s">
        <v>3433</v>
      </c>
      <c r="B1068" s="179" t="s">
        <v>3434</v>
      </c>
    </row>
    <row r="1069" spans="1:2">
      <c r="A1069" s="180" t="s">
        <v>3435</v>
      </c>
      <c r="B1069" s="179" t="s">
        <v>3436</v>
      </c>
    </row>
    <row r="1070" spans="1:2">
      <c r="A1070" s="180" t="s">
        <v>3437</v>
      </c>
      <c r="B1070" s="179" t="s">
        <v>3438</v>
      </c>
    </row>
    <row r="1071" spans="1:2">
      <c r="A1071" s="180" t="s">
        <v>3439</v>
      </c>
      <c r="B1071" s="179" t="s">
        <v>3440</v>
      </c>
    </row>
    <row r="1072" spans="1:2">
      <c r="A1072" s="180" t="s">
        <v>3441</v>
      </c>
      <c r="B1072" s="179" t="s">
        <v>3442</v>
      </c>
    </row>
    <row r="1073" spans="1:2">
      <c r="A1073" s="180" t="s">
        <v>3443</v>
      </c>
      <c r="B1073" s="179" t="s">
        <v>3444</v>
      </c>
    </row>
    <row r="1074" spans="1:2">
      <c r="A1074" s="180" t="s">
        <v>3445</v>
      </c>
      <c r="B1074" s="179" t="s">
        <v>3446</v>
      </c>
    </row>
    <row r="1075" spans="1:2">
      <c r="A1075" s="180" t="s">
        <v>3447</v>
      </c>
      <c r="B1075" s="179" t="s">
        <v>3276</v>
      </c>
    </row>
    <row r="1076" spans="1:2">
      <c r="A1076" s="180" t="s">
        <v>3448</v>
      </c>
      <c r="B1076" s="179" t="s">
        <v>3449</v>
      </c>
    </row>
    <row r="1077" spans="1:2">
      <c r="A1077" s="180" t="s">
        <v>3450</v>
      </c>
      <c r="B1077" s="179" t="s">
        <v>3451</v>
      </c>
    </row>
    <row r="1078" spans="1:2">
      <c r="A1078" s="180" t="s">
        <v>3452</v>
      </c>
      <c r="B1078" s="179" t="s">
        <v>3453</v>
      </c>
    </row>
    <row r="1079" spans="1:2">
      <c r="A1079" s="180" t="s">
        <v>3454</v>
      </c>
      <c r="B1079" s="179" t="s">
        <v>3455</v>
      </c>
    </row>
    <row r="1080" spans="1:2">
      <c r="A1080" s="180" t="s">
        <v>3456</v>
      </c>
      <c r="B1080" s="179" t="s">
        <v>3457</v>
      </c>
    </row>
    <row r="1081" spans="1:2">
      <c r="A1081" s="180" t="s">
        <v>3458</v>
      </c>
      <c r="B1081" s="179" t="s">
        <v>3459</v>
      </c>
    </row>
    <row r="1082" spans="1:2">
      <c r="A1082" s="180" t="s">
        <v>3460</v>
      </c>
      <c r="B1082" s="179" t="s">
        <v>1391</v>
      </c>
    </row>
    <row r="1083" spans="1:2">
      <c r="A1083" s="180" t="s">
        <v>3461</v>
      </c>
      <c r="B1083" s="179" t="s">
        <v>3462</v>
      </c>
    </row>
    <row r="1084" spans="1:2">
      <c r="A1084" s="175" t="s">
        <v>698</v>
      </c>
      <c r="B1084" s="176" t="s">
        <v>683</v>
      </c>
    </row>
    <row r="1085" spans="1:2">
      <c r="A1085" s="180" t="s">
        <v>928</v>
      </c>
      <c r="B1085" s="179" t="s">
        <v>257</v>
      </c>
    </row>
    <row r="1086" spans="1:2">
      <c r="A1086" s="180" t="s">
        <v>929</v>
      </c>
      <c r="B1086" s="179" t="s">
        <v>258</v>
      </c>
    </row>
    <row r="1087" spans="1:2">
      <c r="A1087" s="180" t="s">
        <v>930</v>
      </c>
      <c r="B1087" s="179" t="s">
        <v>931</v>
      </c>
    </row>
    <row r="1088" spans="1:2">
      <c r="A1088" s="180" t="s">
        <v>932</v>
      </c>
      <c r="B1088" s="179" t="s">
        <v>869</v>
      </c>
    </row>
    <row r="1089" spans="1:2">
      <c r="A1089" s="180" t="s">
        <v>1615</v>
      </c>
      <c r="B1089" s="179" t="s">
        <v>1616</v>
      </c>
    </row>
    <row r="1090" spans="1:2">
      <c r="A1090" s="180" t="s">
        <v>1617</v>
      </c>
      <c r="B1090" s="179" t="s">
        <v>1172</v>
      </c>
    </row>
    <row r="1091" spans="1:2">
      <c r="A1091" s="180" t="s">
        <v>3020</v>
      </c>
      <c r="B1091" s="179" t="s">
        <v>2929</v>
      </c>
    </row>
    <row r="1092" spans="1:2">
      <c r="A1092" s="180" t="s">
        <v>3463</v>
      </c>
      <c r="B1092" s="179" t="s">
        <v>1179</v>
      </c>
    </row>
    <row r="1093" spans="1:2">
      <c r="A1093" s="174" t="s">
        <v>979</v>
      </c>
      <c r="B1093" s="178" t="s">
        <v>980</v>
      </c>
    </row>
    <row r="1094" spans="1:2">
      <c r="A1094" s="175" t="s">
        <v>999</v>
      </c>
      <c r="B1094" s="176" t="s">
        <v>1000</v>
      </c>
    </row>
    <row r="1095" spans="1:2">
      <c r="A1095" s="180" t="s">
        <v>1184</v>
      </c>
      <c r="B1095" s="179" t="s">
        <v>1185</v>
      </c>
    </row>
    <row r="1096" spans="1:2">
      <c r="A1096" s="180" t="s">
        <v>3464</v>
      </c>
      <c r="B1096" s="179" t="s">
        <v>3465</v>
      </c>
    </row>
    <row r="1097" spans="1:2">
      <c r="A1097" s="175" t="s">
        <v>1001</v>
      </c>
      <c r="B1097" s="176" t="s">
        <v>1002</v>
      </c>
    </row>
    <row r="1098" spans="1:2">
      <c r="A1098" s="180" t="s">
        <v>1186</v>
      </c>
      <c r="B1098" s="179" t="s">
        <v>1187</v>
      </c>
    </row>
    <row r="1099" spans="1:2">
      <c r="A1099" s="180" t="s">
        <v>1188</v>
      </c>
      <c r="B1099" s="179" t="s">
        <v>1189</v>
      </c>
    </row>
    <row r="1100" spans="1:2">
      <c r="A1100" s="180" t="s">
        <v>3466</v>
      </c>
      <c r="B1100" s="179" t="s">
        <v>3465</v>
      </c>
    </row>
    <row r="1101" spans="1:2">
      <c r="A1101" s="174" t="s">
        <v>1008</v>
      </c>
      <c r="B1101" s="178" t="s">
        <v>1009</v>
      </c>
    </row>
    <row r="1102" spans="1:2">
      <c r="A1102" s="175" t="s">
        <v>1016</v>
      </c>
      <c r="B1102" s="176" t="s">
        <v>1017</v>
      </c>
    </row>
    <row r="1103" spans="1:2">
      <c r="A1103" s="180" t="s">
        <v>1190</v>
      </c>
      <c r="B1103" s="179" t="s">
        <v>1191</v>
      </c>
    </row>
    <row r="1104" spans="1:2">
      <c r="A1104" s="180" t="s">
        <v>1192</v>
      </c>
      <c r="B1104" s="179" t="s">
        <v>1193</v>
      </c>
    </row>
    <row r="1105" spans="1:2">
      <c r="A1105" s="174" t="s">
        <v>1104</v>
      </c>
      <c r="B1105" s="178" t="s">
        <v>1105</v>
      </c>
    </row>
    <row r="1106" spans="1:2">
      <c r="A1106" s="175" t="s">
        <v>1128</v>
      </c>
      <c r="B1106" s="176" t="s">
        <v>685</v>
      </c>
    </row>
    <row r="1107" spans="1:2">
      <c r="A1107" s="180" t="s">
        <v>1194</v>
      </c>
      <c r="B1107" s="179" t="s">
        <v>1195</v>
      </c>
    </row>
    <row r="1108" spans="1:2">
      <c r="A1108" s="180" t="s">
        <v>1196</v>
      </c>
      <c r="B1108" s="179" t="s">
        <v>1197</v>
      </c>
    </row>
    <row r="1109" spans="1:2">
      <c r="A1109" s="180" t="s">
        <v>1198</v>
      </c>
      <c r="B1109" s="179" t="s">
        <v>1199</v>
      </c>
    </row>
    <row r="1110" spans="1:2">
      <c r="A1110" s="180" t="s">
        <v>1200</v>
      </c>
      <c r="B1110" s="179" t="s">
        <v>1201</v>
      </c>
    </row>
    <row r="1111" spans="1:2">
      <c r="A1111" s="180" t="s">
        <v>1202</v>
      </c>
      <c r="B1111" s="179" t="s">
        <v>1203</v>
      </c>
    </row>
    <row r="1112" spans="1:2">
      <c r="A1112" s="180" t="s">
        <v>1204</v>
      </c>
      <c r="B1112" s="179" t="s">
        <v>1205</v>
      </c>
    </row>
    <row r="1113" spans="1:2">
      <c r="A1113" s="174" t="s">
        <v>3467</v>
      </c>
      <c r="B1113" s="178" t="s">
        <v>3468</v>
      </c>
    </row>
    <row r="1114" spans="1:2">
      <c r="A1114" s="175" t="s">
        <v>3469</v>
      </c>
      <c r="B1114" s="176" t="s">
        <v>685</v>
      </c>
    </row>
    <row r="1115" spans="1:2">
      <c r="A1115" s="180" t="s">
        <v>3470</v>
      </c>
      <c r="B1115" s="179" t="s">
        <v>1154</v>
      </c>
    </row>
    <row r="1116" spans="1:2">
      <c r="A1116" s="180" t="s">
        <v>3471</v>
      </c>
      <c r="B1116" s="179" t="s">
        <v>1156</v>
      </c>
    </row>
  </sheetData>
  <autoFilter ref="A1:B1116" xr:uid="{00000000-0009-0000-0000-00000B000000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65" bestFit="1" customWidth="1"/>
    <col min="4" max="5" width="23.7109375" style="166" customWidth="1"/>
    <col min="6" max="6" width="11.7109375" style="164" customWidth="1"/>
  </cols>
  <sheetData>
    <row r="1" spans="1:6" ht="20.25" thickBot="1">
      <c r="A1" s="161" t="s">
        <v>639</v>
      </c>
      <c r="B1" s="161" t="s">
        <v>196</v>
      </c>
      <c r="C1" s="162" t="s">
        <v>1748</v>
      </c>
      <c r="D1" s="161"/>
      <c r="E1" s="161"/>
      <c r="F1" s="163" t="s">
        <v>1749</v>
      </c>
    </row>
    <row r="2" spans="1:6" ht="15.7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32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32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32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32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32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32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32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32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32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32" customFormat="1">
      <c r="B20" s="186" t="s">
        <v>1783</v>
      </c>
      <c r="C20" s="186">
        <v>5761</v>
      </c>
      <c r="D20" s="186" t="s">
        <v>1704</v>
      </c>
      <c r="E20" s="186">
        <v>632</v>
      </c>
      <c r="F20" s="186">
        <v>632315761</v>
      </c>
    </row>
    <row r="21" spans="2:6" s="132" customFormat="1">
      <c r="B21" s="186" t="s">
        <v>3535</v>
      </c>
      <c r="C21" s="186">
        <v>5762</v>
      </c>
      <c r="D21" s="186" t="s">
        <v>1704</v>
      </c>
      <c r="E21" s="186">
        <v>632</v>
      </c>
      <c r="F21" s="186">
        <v>632315762</v>
      </c>
    </row>
    <row r="22" spans="2:6" s="132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32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32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32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32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32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32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32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186" t="s">
        <v>1784</v>
      </c>
      <c r="C31" s="186">
        <v>5761</v>
      </c>
      <c r="D31" s="186" t="s">
        <v>1704</v>
      </c>
      <c r="E31" s="186">
        <v>632</v>
      </c>
      <c r="F31" s="186">
        <v>632415761</v>
      </c>
    </row>
    <row r="32" spans="2:6">
      <c r="B32" s="186" t="s">
        <v>3536</v>
      </c>
      <c r="C32" s="186">
        <v>5762</v>
      </c>
      <c r="D32" s="186" t="s">
        <v>1704</v>
      </c>
      <c r="E32" s="186">
        <v>632</v>
      </c>
      <c r="F32" s="186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64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186" t="s">
        <v>3534</v>
      </c>
      <c r="C104" s="186">
        <v>81</v>
      </c>
      <c r="D104" s="186" t="s">
        <v>1698</v>
      </c>
      <c r="E104" s="186">
        <v>841</v>
      </c>
      <c r="F104" s="186">
        <v>841320150</v>
      </c>
    </row>
    <row r="106" spans="1:6">
      <c r="A106" s="167"/>
    </row>
    <row r="107" spans="1:6">
      <c r="A107" s="167"/>
    </row>
    <row r="108" spans="1:6">
      <c r="A108" s="167"/>
      <c r="B108" s="167"/>
      <c r="C108" s="167"/>
      <c r="D108" s="167"/>
      <c r="E108" s="167"/>
      <c r="F108" s="167"/>
    </row>
    <row r="109" spans="1:6">
      <c r="A109" s="167"/>
      <c r="B109" s="167"/>
      <c r="C109" s="167"/>
      <c r="D109" s="167"/>
      <c r="E109" s="167"/>
      <c r="F109" s="167"/>
    </row>
    <row r="110" spans="1:6">
      <c r="A110" s="167"/>
      <c r="B110" s="167"/>
      <c r="C110" s="167"/>
      <c r="D110" s="167"/>
      <c r="E110" s="167"/>
      <c r="F110" s="167"/>
    </row>
    <row r="111" spans="1:6">
      <c r="A111" s="167"/>
      <c r="B111" s="167"/>
      <c r="C111" s="167"/>
      <c r="D111" s="167"/>
      <c r="E111" s="167"/>
      <c r="F111" s="167"/>
    </row>
    <row r="112" spans="1:6">
      <c r="A112" s="167"/>
      <c r="B112" s="167"/>
      <c r="C112" s="167"/>
      <c r="D112" s="167"/>
      <c r="E112" s="167"/>
      <c r="F112" s="167"/>
    </row>
    <row r="113" spans="1:6">
      <c r="A113" s="167"/>
      <c r="B113" s="167"/>
      <c r="C113" s="167"/>
      <c r="D113" s="167"/>
      <c r="E113" s="167"/>
      <c r="F113" s="167"/>
    </row>
    <row r="114" spans="1:6">
      <c r="A114" s="167"/>
      <c r="B114" s="167"/>
      <c r="C114" s="167"/>
      <c r="D114" s="167"/>
      <c r="E114" s="167"/>
      <c r="F114" s="167"/>
    </row>
    <row r="115" spans="1:6">
      <c r="A115" s="167"/>
      <c r="B115" s="167"/>
      <c r="C115" s="167"/>
      <c r="D115" s="167"/>
      <c r="E115" s="167"/>
      <c r="F115" s="167"/>
    </row>
    <row r="116" spans="1:6">
      <c r="A116" s="167"/>
      <c r="B116" s="167"/>
      <c r="C116" s="167"/>
      <c r="D116" s="167"/>
      <c r="E116" s="167"/>
      <c r="F116" s="167"/>
    </row>
    <row r="117" spans="1:6">
      <c r="A117" s="167"/>
      <c r="B117" s="167"/>
      <c r="C117" s="167"/>
      <c r="D117" s="167"/>
      <c r="E117" s="167"/>
      <c r="F117" s="167"/>
    </row>
    <row r="118" spans="1:6">
      <c r="A118" s="167"/>
      <c r="B118" s="167"/>
      <c r="C118" s="167"/>
      <c r="D118" s="167"/>
      <c r="E118" s="167"/>
      <c r="F118" s="167"/>
    </row>
    <row r="119" spans="1:6">
      <c r="B119" s="167"/>
      <c r="C119" s="167"/>
      <c r="D119" s="167"/>
      <c r="E119" s="167"/>
      <c r="F119" s="167"/>
    </row>
    <row r="120" spans="1:6">
      <c r="B120" s="167"/>
      <c r="C120" s="167"/>
      <c r="D120" s="167"/>
      <c r="E120" s="167"/>
      <c r="F120" s="167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40" customWidth="1"/>
    <col min="2" max="2" width="6.85546875" style="240" customWidth="1"/>
    <col min="3" max="4" width="81.7109375" style="241" customWidth="1"/>
    <col min="5" max="5" width="37.140625" style="241" customWidth="1"/>
    <col min="6" max="6" width="24.7109375" style="242" customWidth="1"/>
    <col min="7" max="7" width="11.7109375" style="241" customWidth="1"/>
    <col min="8" max="8" width="12" style="245" bestFit="1" customWidth="1"/>
    <col min="9" max="9" width="21.7109375" style="189" customWidth="1"/>
    <col min="10" max="257" width="9.140625" style="189"/>
    <col min="258" max="258" width="4.5703125" style="189" customWidth="1"/>
    <col min="259" max="259" width="6.85546875" style="189" customWidth="1"/>
    <col min="260" max="260" width="81.7109375" style="189" customWidth="1"/>
    <col min="261" max="261" width="37.140625" style="189" customWidth="1"/>
    <col min="262" max="262" width="24.7109375" style="189" customWidth="1"/>
    <col min="263" max="263" width="11.7109375" style="189" customWidth="1"/>
    <col min="264" max="264" width="12" style="189" bestFit="1" customWidth="1"/>
    <col min="265" max="265" width="21.7109375" style="189" customWidth="1"/>
    <col min="266" max="513" width="9.140625" style="189"/>
    <col min="514" max="514" width="4.5703125" style="189" customWidth="1"/>
    <col min="515" max="515" width="6.85546875" style="189" customWidth="1"/>
    <col min="516" max="516" width="81.7109375" style="189" customWidth="1"/>
    <col min="517" max="517" width="37.140625" style="189" customWidth="1"/>
    <col min="518" max="518" width="24.7109375" style="189" customWidth="1"/>
    <col min="519" max="519" width="11.7109375" style="189" customWidth="1"/>
    <col min="520" max="520" width="12" style="189" bestFit="1" customWidth="1"/>
    <col min="521" max="521" width="21.7109375" style="189" customWidth="1"/>
    <col min="522" max="769" width="9.140625" style="189"/>
    <col min="770" max="770" width="4.5703125" style="189" customWidth="1"/>
    <col min="771" max="771" width="6.85546875" style="189" customWidth="1"/>
    <col min="772" max="772" width="81.7109375" style="189" customWidth="1"/>
    <col min="773" max="773" width="37.140625" style="189" customWidth="1"/>
    <col min="774" max="774" width="24.7109375" style="189" customWidth="1"/>
    <col min="775" max="775" width="11.7109375" style="189" customWidth="1"/>
    <col min="776" max="776" width="12" style="189" bestFit="1" customWidth="1"/>
    <col min="777" max="777" width="21.7109375" style="189" customWidth="1"/>
    <col min="778" max="1025" width="9.140625" style="189"/>
    <col min="1026" max="1026" width="4.5703125" style="189" customWidth="1"/>
    <col min="1027" max="1027" width="6.85546875" style="189" customWidth="1"/>
    <col min="1028" max="1028" width="81.7109375" style="189" customWidth="1"/>
    <col min="1029" max="1029" width="37.140625" style="189" customWidth="1"/>
    <col min="1030" max="1030" width="24.7109375" style="189" customWidth="1"/>
    <col min="1031" max="1031" width="11.7109375" style="189" customWidth="1"/>
    <col min="1032" max="1032" width="12" style="189" bestFit="1" customWidth="1"/>
    <col min="1033" max="1033" width="21.7109375" style="189" customWidth="1"/>
    <col min="1034" max="1281" width="9.140625" style="189"/>
    <col min="1282" max="1282" width="4.5703125" style="189" customWidth="1"/>
    <col min="1283" max="1283" width="6.85546875" style="189" customWidth="1"/>
    <col min="1284" max="1284" width="81.7109375" style="189" customWidth="1"/>
    <col min="1285" max="1285" width="37.140625" style="189" customWidth="1"/>
    <col min="1286" max="1286" width="24.7109375" style="189" customWidth="1"/>
    <col min="1287" max="1287" width="11.7109375" style="189" customWidth="1"/>
    <col min="1288" max="1288" width="12" style="189" bestFit="1" customWidth="1"/>
    <col min="1289" max="1289" width="21.7109375" style="189" customWidth="1"/>
    <col min="1290" max="1537" width="9.140625" style="189"/>
    <col min="1538" max="1538" width="4.5703125" style="189" customWidth="1"/>
    <col min="1539" max="1539" width="6.85546875" style="189" customWidth="1"/>
    <col min="1540" max="1540" width="81.7109375" style="189" customWidth="1"/>
    <col min="1541" max="1541" width="37.140625" style="189" customWidth="1"/>
    <col min="1542" max="1542" width="24.7109375" style="189" customWidth="1"/>
    <col min="1543" max="1543" width="11.7109375" style="189" customWidth="1"/>
    <col min="1544" max="1544" width="12" style="189" bestFit="1" customWidth="1"/>
    <col min="1545" max="1545" width="21.7109375" style="189" customWidth="1"/>
    <col min="1546" max="1793" width="9.140625" style="189"/>
    <col min="1794" max="1794" width="4.5703125" style="189" customWidth="1"/>
    <col min="1795" max="1795" width="6.85546875" style="189" customWidth="1"/>
    <col min="1796" max="1796" width="81.7109375" style="189" customWidth="1"/>
    <col min="1797" max="1797" width="37.140625" style="189" customWidth="1"/>
    <col min="1798" max="1798" width="24.7109375" style="189" customWidth="1"/>
    <col min="1799" max="1799" width="11.7109375" style="189" customWidth="1"/>
    <col min="1800" max="1800" width="12" style="189" bestFit="1" customWidth="1"/>
    <col min="1801" max="1801" width="21.7109375" style="189" customWidth="1"/>
    <col min="1802" max="2049" width="9.140625" style="189"/>
    <col min="2050" max="2050" width="4.5703125" style="189" customWidth="1"/>
    <col min="2051" max="2051" width="6.85546875" style="189" customWidth="1"/>
    <col min="2052" max="2052" width="81.7109375" style="189" customWidth="1"/>
    <col min="2053" max="2053" width="37.140625" style="189" customWidth="1"/>
    <col min="2054" max="2054" width="24.7109375" style="189" customWidth="1"/>
    <col min="2055" max="2055" width="11.7109375" style="189" customWidth="1"/>
    <col min="2056" max="2056" width="12" style="189" bestFit="1" customWidth="1"/>
    <col min="2057" max="2057" width="21.7109375" style="189" customWidth="1"/>
    <col min="2058" max="2305" width="9.140625" style="189"/>
    <col min="2306" max="2306" width="4.5703125" style="189" customWidth="1"/>
    <col min="2307" max="2307" width="6.85546875" style="189" customWidth="1"/>
    <col min="2308" max="2308" width="81.7109375" style="189" customWidth="1"/>
    <col min="2309" max="2309" width="37.140625" style="189" customWidth="1"/>
    <col min="2310" max="2310" width="24.7109375" style="189" customWidth="1"/>
    <col min="2311" max="2311" width="11.7109375" style="189" customWidth="1"/>
    <col min="2312" max="2312" width="12" style="189" bestFit="1" customWidth="1"/>
    <col min="2313" max="2313" width="21.7109375" style="189" customWidth="1"/>
    <col min="2314" max="2561" width="9.140625" style="189"/>
    <col min="2562" max="2562" width="4.5703125" style="189" customWidth="1"/>
    <col min="2563" max="2563" width="6.85546875" style="189" customWidth="1"/>
    <col min="2564" max="2564" width="81.7109375" style="189" customWidth="1"/>
    <col min="2565" max="2565" width="37.140625" style="189" customWidth="1"/>
    <col min="2566" max="2566" width="24.7109375" style="189" customWidth="1"/>
    <col min="2567" max="2567" width="11.7109375" style="189" customWidth="1"/>
    <col min="2568" max="2568" width="12" style="189" bestFit="1" customWidth="1"/>
    <col min="2569" max="2569" width="21.7109375" style="189" customWidth="1"/>
    <col min="2570" max="2817" width="9.140625" style="189"/>
    <col min="2818" max="2818" width="4.5703125" style="189" customWidth="1"/>
    <col min="2819" max="2819" width="6.85546875" style="189" customWidth="1"/>
    <col min="2820" max="2820" width="81.7109375" style="189" customWidth="1"/>
    <col min="2821" max="2821" width="37.140625" style="189" customWidth="1"/>
    <col min="2822" max="2822" width="24.7109375" style="189" customWidth="1"/>
    <col min="2823" max="2823" width="11.7109375" style="189" customWidth="1"/>
    <col min="2824" max="2824" width="12" style="189" bestFit="1" customWidth="1"/>
    <col min="2825" max="2825" width="21.7109375" style="189" customWidth="1"/>
    <col min="2826" max="3073" width="9.140625" style="189"/>
    <col min="3074" max="3074" width="4.5703125" style="189" customWidth="1"/>
    <col min="3075" max="3075" width="6.85546875" style="189" customWidth="1"/>
    <col min="3076" max="3076" width="81.7109375" style="189" customWidth="1"/>
    <col min="3077" max="3077" width="37.140625" style="189" customWidth="1"/>
    <col min="3078" max="3078" width="24.7109375" style="189" customWidth="1"/>
    <col min="3079" max="3079" width="11.7109375" style="189" customWidth="1"/>
    <col min="3080" max="3080" width="12" style="189" bestFit="1" customWidth="1"/>
    <col min="3081" max="3081" width="21.7109375" style="189" customWidth="1"/>
    <col min="3082" max="3329" width="9.140625" style="189"/>
    <col min="3330" max="3330" width="4.5703125" style="189" customWidth="1"/>
    <col min="3331" max="3331" width="6.85546875" style="189" customWidth="1"/>
    <col min="3332" max="3332" width="81.7109375" style="189" customWidth="1"/>
    <col min="3333" max="3333" width="37.140625" style="189" customWidth="1"/>
    <col min="3334" max="3334" width="24.7109375" style="189" customWidth="1"/>
    <col min="3335" max="3335" width="11.7109375" style="189" customWidth="1"/>
    <col min="3336" max="3336" width="12" style="189" bestFit="1" customWidth="1"/>
    <col min="3337" max="3337" width="21.7109375" style="189" customWidth="1"/>
    <col min="3338" max="3585" width="9.140625" style="189"/>
    <col min="3586" max="3586" width="4.5703125" style="189" customWidth="1"/>
    <col min="3587" max="3587" width="6.85546875" style="189" customWidth="1"/>
    <col min="3588" max="3588" width="81.7109375" style="189" customWidth="1"/>
    <col min="3589" max="3589" width="37.140625" style="189" customWidth="1"/>
    <col min="3590" max="3590" width="24.7109375" style="189" customWidth="1"/>
    <col min="3591" max="3591" width="11.7109375" style="189" customWidth="1"/>
    <col min="3592" max="3592" width="12" style="189" bestFit="1" customWidth="1"/>
    <col min="3593" max="3593" width="21.7109375" style="189" customWidth="1"/>
    <col min="3594" max="3841" width="9.140625" style="189"/>
    <col min="3842" max="3842" width="4.5703125" style="189" customWidth="1"/>
    <col min="3843" max="3843" width="6.85546875" style="189" customWidth="1"/>
    <col min="3844" max="3844" width="81.7109375" style="189" customWidth="1"/>
    <col min="3845" max="3845" width="37.140625" style="189" customWidth="1"/>
    <col min="3846" max="3846" width="24.7109375" style="189" customWidth="1"/>
    <col min="3847" max="3847" width="11.7109375" style="189" customWidth="1"/>
    <col min="3848" max="3848" width="12" style="189" bestFit="1" customWidth="1"/>
    <col min="3849" max="3849" width="21.7109375" style="189" customWidth="1"/>
    <col min="3850" max="4097" width="9.140625" style="189"/>
    <col min="4098" max="4098" width="4.5703125" style="189" customWidth="1"/>
    <col min="4099" max="4099" width="6.85546875" style="189" customWidth="1"/>
    <col min="4100" max="4100" width="81.7109375" style="189" customWidth="1"/>
    <col min="4101" max="4101" width="37.140625" style="189" customWidth="1"/>
    <col min="4102" max="4102" width="24.7109375" style="189" customWidth="1"/>
    <col min="4103" max="4103" width="11.7109375" style="189" customWidth="1"/>
    <col min="4104" max="4104" width="12" style="189" bestFit="1" customWidth="1"/>
    <col min="4105" max="4105" width="21.7109375" style="189" customWidth="1"/>
    <col min="4106" max="4353" width="9.140625" style="189"/>
    <col min="4354" max="4354" width="4.5703125" style="189" customWidth="1"/>
    <col min="4355" max="4355" width="6.85546875" style="189" customWidth="1"/>
    <col min="4356" max="4356" width="81.7109375" style="189" customWidth="1"/>
    <col min="4357" max="4357" width="37.140625" style="189" customWidth="1"/>
    <col min="4358" max="4358" width="24.7109375" style="189" customWidth="1"/>
    <col min="4359" max="4359" width="11.7109375" style="189" customWidth="1"/>
    <col min="4360" max="4360" width="12" style="189" bestFit="1" customWidth="1"/>
    <col min="4361" max="4361" width="21.7109375" style="189" customWidth="1"/>
    <col min="4362" max="4609" width="9.140625" style="189"/>
    <col min="4610" max="4610" width="4.5703125" style="189" customWidth="1"/>
    <col min="4611" max="4611" width="6.85546875" style="189" customWidth="1"/>
    <col min="4612" max="4612" width="81.7109375" style="189" customWidth="1"/>
    <col min="4613" max="4613" width="37.140625" style="189" customWidth="1"/>
    <col min="4614" max="4614" width="24.7109375" style="189" customWidth="1"/>
    <col min="4615" max="4615" width="11.7109375" style="189" customWidth="1"/>
    <col min="4616" max="4616" width="12" style="189" bestFit="1" customWidth="1"/>
    <col min="4617" max="4617" width="21.7109375" style="189" customWidth="1"/>
    <col min="4618" max="4865" width="9.140625" style="189"/>
    <col min="4866" max="4866" width="4.5703125" style="189" customWidth="1"/>
    <col min="4867" max="4867" width="6.85546875" style="189" customWidth="1"/>
    <col min="4868" max="4868" width="81.7109375" style="189" customWidth="1"/>
    <col min="4869" max="4869" width="37.140625" style="189" customWidth="1"/>
    <col min="4870" max="4870" width="24.7109375" style="189" customWidth="1"/>
    <col min="4871" max="4871" width="11.7109375" style="189" customWidth="1"/>
    <col min="4872" max="4872" width="12" style="189" bestFit="1" customWidth="1"/>
    <col min="4873" max="4873" width="21.7109375" style="189" customWidth="1"/>
    <col min="4874" max="5121" width="9.140625" style="189"/>
    <col min="5122" max="5122" width="4.5703125" style="189" customWidth="1"/>
    <col min="5123" max="5123" width="6.85546875" style="189" customWidth="1"/>
    <col min="5124" max="5124" width="81.7109375" style="189" customWidth="1"/>
    <col min="5125" max="5125" width="37.140625" style="189" customWidth="1"/>
    <col min="5126" max="5126" width="24.7109375" style="189" customWidth="1"/>
    <col min="5127" max="5127" width="11.7109375" style="189" customWidth="1"/>
    <col min="5128" max="5128" width="12" style="189" bestFit="1" customWidth="1"/>
    <col min="5129" max="5129" width="21.7109375" style="189" customWidth="1"/>
    <col min="5130" max="5377" width="9.140625" style="189"/>
    <col min="5378" max="5378" width="4.5703125" style="189" customWidth="1"/>
    <col min="5379" max="5379" width="6.85546875" style="189" customWidth="1"/>
    <col min="5380" max="5380" width="81.7109375" style="189" customWidth="1"/>
    <col min="5381" max="5381" width="37.140625" style="189" customWidth="1"/>
    <col min="5382" max="5382" width="24.7109375" style="189" customWidth="1"/>
    <col min="5383" max="5383" width="11.7109375" style="189" customWidth="1"/>
    <col min="5384" max="5384" width="12" style="189" bestFit="1" customWidth="1"/>
    <col min="5385" max="5385" width="21.7109375" style="189" customWidth="1"/>
    <col min="5386" max="5633" width="9.140625" style="189"/>
    <col min="5634" max="5634" width="4.5703125" style="189" customWidth="1"/>
    <col min="5635" max="5635" width="6.85546875" style="189" customWidth="1"/>
    <col min="5636" max="5636" width="81.7109375" style="189" customWidth="1"/>
    <col min="5637" max="5637" width="37.140625" style="189" customWidth="1"/>
    <col min="5638" max="5638" width="24.7109375" style="189" customWidth="1"/>
    <col min="5639" max="5639" width="11.7109375" style="189" customWidth="1"/>
    <col min="5640" max="5640" width="12" style="189" bestFit="1" customWidth="1"/>
    <col min="5641" max="5641" width="21.7109375" style="189" customWidth="1"/>
    <col min="5642" max="5889" width="9.140625" style="189"/>
    <col min="5890" max="5890" width="4.5703125" style="189" customWidth="1"/>
    <col min="5891" max="5891" width="6.85546875" style="189" customWidth="1"/>
    <col min="5892" max="5892" width="81.7109375" style="189" customWidth="1"/>
    <col min="5893" max="5893" width="37.140625" style="189" customWidth="1"/>
    <col min="5894" max="5894" width="24.7109375" style="189" customWidth="1"/>
    <col min="5895" max="5895" width="11.7109375" style="189" customWidth="1"/>
    <col min="5896" max="5896" width="12" style="189" bestFit="1" customWidth="1"/>
    <col min="5897" max="5897" width="21.7109375" style="189" customWidth="1"/>
    <col min="5898" max="6145" width="9.140625" style="189"/>
    <col min="6146" max="6146" width="4.5703125" style="189" customWidth="1"/>
    <col min="6147" max="6147" width="6.85546875" style="189" customWidth="1"/>
    <col min="6148" max="6148" width="81.7109375" style="189" customWidth="1"/>
    <col min="6149" max="6149" width="37.140625" style="189" customWidth="1"/>
    <col min="6150" max="6150" width="24.7109375" style="189" customWidth="1"/>
    <col min="6151" max="6151" width="11.7109375" style="189" customWidth="1"/>
    <col min="6152" max="6152" width="12" style="189" bestFit="1" customWidth="1"/>
    <col min="6153" max="6153" width="21.7109375" style="189" customWidth="1"/>
    <col min="6154" max="6401" width="9.140625" style="189"/>
    <col min="6402" max="6402" width="4.5703125" style="189" customWidth="1"/>
    <col min="6403" max="6403" width="6.85546875" style="189" customWidth="1"/>
    <col min="6404" max="6404" width="81.7109375" style="189" customWidth="1"/>
    <col min="6405" max="6405" width="37.140625" style="189" customWidth="1"/>
    <col min="6406" max="6406" width="24.7109375" style="189" customWidth="1"/>
    <col min="6407" max="6407" width="11.7109375" style="189" customWidth="1"/>
    <col min="6408" max="6408" width="12" style="189" bestFit="1" customWidth="1"/>
    <col min="6409" max="6409" width="21.7109375" style="189" customWidth="1"/>
    <col min="6410" max="6657" width="9.140625" style="189"/>
    <col min="6658" max="6658" width="4.5703125" style="189" customWidth="1"/>
    <col min="6659" max="6659" width="6.85546875" style="189" customWidth="1"/>
    <col min="6660" max="6660" width="81.7109375" style="189" customWidth="1"/>
    <col min="6661" max="6661" width="37.140625" style="189" customWidth="1"/>
    <col min="6662" max="6662" width="24.7109375" style="189" customWidth="1"/>
    <col min="6663" max="6663" width="11.7109375" style="189" customWidth="1"/>
    <col min="6664" max="6664" width="12" style="189" bestFit="1" customWidth="1"/>
    <col min="6665" max="6665" width="21.7109375" style="189" customWidth="1"/>
    <col min="6666" max="6913" width="9.140625" style="189"/>
    <col min="6914" max="6914" width="4.5703125" style="189" customWidth="1"/>
    <col min="6915" max="6915" width="6.85546875" style="189" customWidth="1"/>
    <col min="6916" max="6916" width="81.7109375" style="189" customWidth="1"/>
    <col min="6917" max="6917" width="37.140625" style="189" customWidth="1"/>
    <col min="6918" max="6918" width="24.7109375" style="189" customWidth="1"/>
    <col min="6919" max="6919" width="11.7109375" style="189" customWidth="1"/>
    <col min="6920" max="6920" width="12" style="189" bestFit="1" customWidth="1"/>
    <col min="6921" max="6921" width="21.7109375" style="189" customWidth="1"/>
    <col min="6922" max="7169" width="9.140625" style="189"/>
    <col min="7170" max="7170" width="4.5703125" style="189" customWidth="1"/>
    <col min="7171" max="7171" width="6.85546875" style="189" customWidth="1"/>
    <col min="7172" max="7172" width="81.7109375" style="189" customWidth="1"/>
    <col min="7173" max="7173" width="37.140625" style="189" customWidth="1"/>
    <col min="7174" max="7174" width="24.7109375" style="189" customWidth="1"/>
    <col min="7175" max="7175" width="11.7109375" style="189" customWidth="1"/>
    <col min="7176" max="7176" width="12" style="189" bestFit="1" customWidth="1"/>
    <col min="7177" max="7177" width="21.7109375" style="189" customWidth="1"/>
    <col min="7178" max="7425" width="9.140625" style="189"/>
    <col min="7426" max="7426" width="4.5703125" style="189" customWidth="1"/>
    <col min="7427" max="7427" width="6.85546875" style="189" customWidth="1"/>
    <col min="7428" max="7428" width="81.7109375" style="189" customWidth="1"/>
    <col min="7429" max="7429" width="37.140625" style="189" customWidth="1"/>
    <col min="7430" max="7430" width="24.7109375" style="189" customWidth="1"/>
    <col min="7431" max="7431" width="11.7109375" style="189" customWidth="1"/>
    <col min="7432" max="7432" width="12" style="189" bestFit="1" customWidth="1"/>
    <col min="7433" max="7433" width="21.7109375" style="189" customWidth="1"/>
    <col min="7434" max="7681" width="9.140625" style="189"/>
    <col min="7682" max="7682" width="4.5703125" style="189" customWidth="1"/>
    <col min="7683" max="7683" width="6.85546875" style="189" customWidth="1"/>
    <col min="7684" max="7684" width="81.7109375" style="189" customWidth="1"/>
    <col min="7685" max="7685" width="37.140625" style="189" customWidth="1"/>
    <col min="7686" max="7686" width="24.7109375" style="189" customWidth="1"/>
    <col min="7687" max="7687" width="11.7109375" style="189" customWidth="1"/>
    <col min="7688" max="7688" width="12" style="189" bestFit="1" customWidth="1"/>
    <col min="7689" max="7689" width="21.7109375" style="189" customWidth="1"/>
    <col min="7690" max="7937" width="9.140625" style="189"/>
    <col min="7938" max="7938" width="4.5703125" style="189" customWidth="1"/>
    <col min="7939" max="7939" width="6.85546875" style="189" customWidth="1"/>
    <col min="7940" max="7940" width="81.7109375" style="189" customWidth="1"/>
    <col min="7941" max="7941" width="37.140625" style="189" customWidth="1"/>
    <col min="7942" max="7942" width="24.7109375" style="189" customWidth="1"/>
    <col min="7943" max="7943" width="11.7109375" style="189" customWidth="1"/>
    <col min="7944" max="7944" width="12" style="189" bestFit="1" customWidth="1"/>
    <col min="7945" max="7945" width="21.7109375" style="189" customWidth="1"/>
    <col min="7946" max="8193" width="9.140625" style="189"/>
    <col min="8194" max="8194" width="4.5703125" style="189" customWidth="1"/>
    <col min="8195" max="8195" width="6.85546875" style="189" customWidth="1"/>
    <col min="8196" max="8196" width="81.7109375" style="189" customWidth="1"/>
    <col min="8197" max="8197" width="37.140625" style="189" customWidth="1"/>
    <col min="8198" max="8198" width="24.7109375" style="189" customWidth="1"/>
    <col min="8199" max="8199" width="11.7109375" style="189" customWidth="1"/>
    <col min="8200" max="8200" width="12" style="189" bestFit="1" customWidth="1"/>
    <col min="8201" max="8201" width="21.7109375" style="189" customWidth="1"/>
    <col min="8202" max="8449" width="9.140625" style="189"/>
    <col min="8450" max="8450" width="4.5703125" style="189" customWidth="1"/>
    <col min="8451" max="8451" width="6.85546875" style="189" customWidth="1"/>
    <col min="8452" max="8452" width="81.7109375" style="189" customWidth="1"/>
    <col min="8453" max="8453" width="37.140625" style="189" customWidth="1"/>
    <col min="8454" max="8454" width="24.7109375" style="189" customWidth="1"/>
    <col min="8455" max="8455" width="11.7109375" style="189" customWidth="1"/>
    <col min="8456" max="8456" width="12" style="189" bestFit="1" customWidth="1"/>
    <col min="8457" max="8457" width="21.7109375" style="189" customWidth="1"/>
    <col min="8458" max="8705" width="9.140625" style="189"/>
    <col min="8706" max="8706" width="4.5703125" style="189" customWidth="1"/>
    <col min="8707" max="8707" width="6.85546875" style="189" customWidth="1"/>
    <col min="8708" max="8708" width="81.7109375" style="189" customWidth="1"/>
    <col min="8709" max="8709" width="37.140625" style="189" customWidth="1"/>
    <col min="8710" max="8710" width="24.7109375" style="189" customWidth="1"/>
    <col min="8711" max="8711" width="11.7109375" style="189" customWidth="1"/>
    <col min="8712" max="8712" width="12" style="189" bestFit="1" customWidth="1"/>
    <col min="8713" max="8713" width="21.7109375" style="189" customWidth="1"/>
    <col min="8714" max="8961" width="9.140625" style="189"/>
    <col min="8962" max="8962" width="4.5703125" style="189" customWidth="1"/>
    <col min="8963" max="8963" width="6.85546875" style="189" customWidth="1"/>
    <col min="8964" max="8964" width="81.7109375" style="189" customWidth="1"/>
    <col min="8965" max="8965" width="37.140625" style="189" customWidth="1"/>
    <col min="8966" max="8966" width="24.7109375" style="189" customWidth="1"/>
    <col min="8967" max="8967" width="11.7109375" style="189" customWidth="1"/>
    <col min="8968" max="8968" width="12" style="189" bestFit="1" customWidth="1"/>
    <col min="8969" max="8969" width="21.7109375" style="189" customWidth="1"/>
    <col min="8970" max="9217" width="9.140625" style="189"/>
    <col min="9218" max="9218" width="4.5703125" style="189" customWidth="1"/>
    <col min="9219" max="9219" width="6.85546875" style="189" customWidth="1"/>
    <col min="9220" max="9220" width="81.7109375" style="189" customWidth="1"/>
    <col min="9221" max="9221" width="37.140625" style="189" customWidth="1"/>
    <col min="9222" max="9222" width="24.7109375" style="189" customWidth="1"/>
    <col min="9223" max="9223" width="11.7109375" style="189" customWidth="1"/>
    <col min="9224" max="9224" width="12" style="189" bestFit="1" customWidth="1"/>
    <col min="9225" max="9225" width="21.7109375" style="189" customWidth="1"/>
    <col min="9226" max="9473" width="9.140625" style="189"/>
    <col min="9474" max="9474" width="4.5703125" style="189" customWidth="1"/>
    <col min="9475" max="9475" width="6.85546875" style="189" customWidth="1"/>
    <col min="9476" max="9476" width="81.7109375" style="189" customWidth="1"/>
    <col min="9477" max="9477" width="37.140625" style="189" customWidth="1"/>
    <col min="9478" max="9478" width="24.7109375" style="189" customWidth="1"/>
    <col min="9479" max="9479" width="11.7109375" style="189" customWidth="1"/>
    <col min="9480" max="9480" width="12" style="189" bestFit="1" customWidth="1"/>
    <col min="9481" max="9481" width="21.7109375" style="189" customWidth="1"/>
    <col min="9482" max="9729" width="9.140625" style="189"/>
    <col min="9730" max="9730" width="4.5703125" style="189" customWidth="1"/>
    <col min="9731" max="9731" width="6.85546875" style="189" customWidth="1"/>
    <col min="9732" max="9732" width="81.7109375" style="189" customWidth="1"/>
    <col min="9733" max="9733" width="37.140625" style="189" customWidth="1"/>
    <col min="9734" max="9734" width="24.7109375" style="189" customWidth="1"/>
    <col min="9735" max="9735" width="11.7109375" style="189" customWidth="1"/>
    <col min="9736" max="9736" width="12" style="189" bestFit="1" customWidth="1"/>
    <col min="9737" max="9737" width="21.7109375" style="189" customWidth="1"/>
    <col min="9738" max="9985" width="9.140625" style="189"/>
    <col min="9986" max="9986" width="4.5703125" style="189" customWidth="1"/>
    <col min="9987" max="9987" width="6.85546875" style="189" customWidth="1"/>
    <col min="9988" max="9988" width="81.7109375" style="189" customWidth="1"/>
    <col min="9989" max="9989" width="37.140625" style="189" customWidth="1"/>
    <col min="9990" max="9990" width="24.7109375" style="189" customWidth="1"/>
    <col min="9991" max="9991" width="11.7109375" style="189" customWidth="1"/>
    <col min="9992" max="9992" width="12" style="189" bestFit="1" customWidth="1"/>
    <col min="9993" max="9993" width="21.7109375" style="189" customWidth="1"/>
    <col min="9994" max="10241" width="9.140625" style="189"/>
    <col min="10242" max="10242" width="4.5703125" style="189" customWidth="1"/>
    <col min="10243" max="10243" width="6.85546875" style="189" customWidth="1"/>
    <col min="10244" max="10244" width="81.7109375" style="189" customWidth="1"/>
    <col min="10245" max="10245" width="37.140625" style="189" customWidth="1"/>
    <col min="10246" max="10246" width="24.7109375" style="189" customWidth="1"/>
    <col min="10247" max="10247" width="11.7109375" style="189" customWidth="1"/>
    <col min="10248" max="10248" width="12" style="189" bestFit="1" customWidth="1"/>
    <col min="10249" max="10249" width="21.7109375" style="189" customWidth="1"/>
    <col min="10250" max="10497" width="9.140625" style="189"/>
    <col min="10498" max="10498" width="4.5703125" style="189" customWidth="1"/>
    <col min="10499" max="10499" width="6.85546875" style="189" customWidth="1"/>
    <col min="10500" max="10500" width="81.7109375" style="189" customWidth="1"/>
    <col min="10501" max="10501" width="37.140625" style="189" customWidth="1"/>
    <col min="10502" max="10502" width="24.7109375" style="189" customWidth="1"/>
    <col min="10503" max="10503" width="11.7109375" style="189" customWidth="1"/>
    <col min="10504" max="10504" width="12" style="189" bestFit="1" customWidth="1"/>
    <col min="10505" max="10505" width="21.7109375" style="189" customWidth="1"/>
    <col min="10506" max="10753" width="9.140625" style="189"/>
    <col min="10754" max="10754" width="4.5703125" style="189" customWidth="1"/>
    <col min="10755" max="10755" width="6.85546875" style="189" customWidth="1"/>
    <col min="10756" max="10756" width="81.7109375" style="189" customWidth="1"/>
    <col min="10757" max="10757" width="37.140625" style="189" customWidth="1"/>
    <col min="10758" max="10758" width="24.7109375" style="189" customWidth="1"/>
    <col min="10759" max="10759" width="11.7109375" style="189" customWidth="1"/>
    <col min="10760" max="10760" width="12" style="189" bestFit="1" customWidth="1"/>
    <col min="10761" max="10761" width="21.7109375" style="189" customWidth="1"/>
    <col min="10762" max="11009" width="9.140625" style="189"/>
    <col min="11010" max="11010" width="4.5703125" style="189" customWidth="1"/>
    <col min="11011" max="11011" width="6.85546875" style="189" customWidth="1"/>
    <col min="11012" max="11012" width="81.7109375" style="189" customWidth="1"/>
    <col min="11013" max="11013" width="37.140625" style="189" customWidth="1"/>
    <col min="11014" max="11014" width="24.7109375" style="189" customWidth="1"/>
    <col min="11015" max="11015" width="11.7109375" style="189" customWidth="1"/>
    <col min="11016" max="11016" width="12" style="189" bestFit="1" customWidth="1"/>
    <col min="11017" max="11017" width="21.7109375" style="189" customWidth="1"/>
    <col min="11018" max="11265" width="9.140625" style="189"/>
    <col min="11266" max="11266" width="4.5703125" style="189" customWidth="1"/>
    <col min="11267" max="11267" width="6.85546875" style="189" customWidth="1"/>
    <col min="11268" max="11268" width="81.7109375" style="189" customWidth="1"/>
    <col min="11269" max="11269" width="37.140625" style="189" customWidth="1"/>
    <col min="11270" max="11270" width="24.7109375" style="189" customWidth="1"/>
    <col min="11271" max="11271" width="11.7109375" style="189" customWidth="1"/>
    <col min="11272" max="11272" width="12" style="189" bestFit="1" customWidth="1"/>
    <col min="11273" max="11273" width="21.7109375" style="189" customWidth="1"/>
    <col min="11274" max="11521" width="9.140625" style="189"/>
    <col min="11522" max="11522" width="4.5703125" style="189" customWidth="1"/>
    <col min="11523" max="11523" width="6.85546875" style="189" customWidth="1"/>
    <col min="11524" max="11524" width="81.7109375" style="189" customWidth="1"/>
    <col min="11525" max="11525" width="37.140625" style="189" customWidth="1"/>
    <col min="11526" max="11526" width="24.7109375" style="189" customWidth="1"/>
    <col min="11527" max="11527" width="11.7109375" style="189" customWidth="1"/>
    <col min="11528" max="11528" width="12" style="189" bestFit="1" customWidth="1"/>
    <col min="11529" max="11529" width="21.7109375" style="189" customWidth="1"/>
    <col min="11530" max="11777" width="9.140625" style="189"/>
    <col min="11778" max="11778" width="4.5703125" style="189" customWidth="1"/>
    <col min="11779" max="11779" width="6.85546875" style="189" customWidth="1"/>
    <col min="11780" max="11780" width="81.7109375" style="189" customWidth="1"/>
    <col min="11781" max="11781" width="37.140625" style="189" customWidth="1"/>
    <col min="11782" max="11782" width="24.7109375" style="189" customWidth="1"/>
    <col min="11783" max="11783" width="11.7109375" style="189" customWidth="1"/>
    <col min="11784" max="11784" width="12" style="189" bestFit="1" customWidth="1"/>
    <col min="11785" max="11785" width="21.7109375" style="189" customWidth="1"/>
    <col min="11786" max="12033" width="9.140625" style="189"/>
    <col min="12034" max="12034" width="4.5703125" style="189" customWidth="1"/>
    <col min="12035" max="12035" width="6.85546875" style="189" customWidth="1"/>
    <col min="12036" max="12036" width="81.7109375" style="189" customWidth="1"/>
    <col min="12037" max="12037" width="37.140625" style="189" customWidth="1"/>
    <col min="12038" max="12038" width="24.7109375" style="189" customWidth="1"/>
    <col min="12039" max="12039" width="11.7109375" style="189" customWidth="1"/>
    <col min="12040" max="12040" width="12" style="189" bestFit="1" customWidth="1"/>
    <col min="12041" max="12041" width="21.7109375" style="189" customWidth="1"/>
    <col min="12042" max="12289" width="9.140625" style="189"/>
    <col min="12290" max="12290" width="4.5703125" style="189" customWidth="1"/>
    <col min="12291" max="12291" width="6.85546875" style="189" customWidth="1"/>
    <col min="12292" max="12292" width="81.7109375" style="189" customWidth="1"/>
    <col min="12293" max="12293" width="37.140625" style="189" customWidth="1"/>
    <col min="12294" max="12294" width="24.7109375" style="189" customWidth="1"/>
    <col min="12295" max="12295" width="11.7109375" style="189" customWidth="1"/>
    <col min="12296" max="12296" width="12" style="189" bestFit="1" customWidth="1"/>
    <col min="12297" max="12297" width="21.7109375" style="189" customWidth="1"/>
    <col min="12298" max="12545" width="9.140625" style="189"/>
    <col min="12546" max="12546" width="4.5703125" style="189" customWidth="1"/>
    <col min="12547" max="12547" width="6.85546875" style="189" customWidth="1"/>
    <col min="12548" max="12548" width="81.7109375" style="189" customWidth="1"/>
    <col min="12549" max="12549" width="37.140625" style="189" customWidth="1"/>
    <col min="12550" max="12550" width="24.7109375" style="189" customWidth="1"/>
    <col min="12551" max="12551" width="11.7109375" style="189" customWidth="1"/>
    <col min="12552" max="12552" width="12" style="189" bestFit="1" customWidth="1"/>
    <col min="12553" max="12553" width="21.7109375" style="189" customWidth="1"/>
    <col min="12554" max="12801" width="9.140625" style="189"/>
    <col min="12802" max="12802" width="4.5703125" style="189" customWidth="1"/>
    <col min="12803" max="12803" width="6.85546875" style="189" customWidth="1"/>
    <col min="12804" max="12804" width="81.7109375" style="189" customWidth="1"/>
    <col min="12805" max="12805" width="37.140625" style="189" customWidth="1"/>
    <col min="12806" max="12806" width="24.7109375" style="189" customWidth="1"/>
    <col min="12807" max="12807" width="11.7109375" style="189" customWidth="1"/>
    <col min="12808" max="12808" width="12" style="189" bestFit="1" customWidth="1"/>
    <col min="12809" max="12809" width="21.7109375" style="189" customWidth="1"/>
    <col min="12810" max="13057" width="9.140625" style="189"/>
    <col min="13058" max="13058" width="4.5703125" style="189" customWidth="1"/>
    <col min="13059" max="13059" width="6.85546875" style="189" customWidth="1"/>
    <col min="13060" max="13060" width="81.7109375" style="189" customWidth="1"/>
    <col min="13061" max="13061" width="37.140625" style="189" customWidth="1"/>
    <col min="13062" max="13062" width="24.7109375" style="189" customWidth="1"/>
    <col min="13063" max="13063" width="11.7109375" style="189" customWidth="1"/>
    <col min="13064" max="13064" width="12" style="189" bestFit="1" customWidth="1"/>
    <col min="13065" max="13065" width="21.7109375" style="189" customWidth="1"/>
    <col min="13066" max="13313" width="9.140625" style="189"/>
    <col min="13314" max="13314" width="4.5703125" style="189" customWidth="1"/>
    <col min="13315" max="13315" width="6.85546875" style="189" customWidth="1"/>
    <col min="13316" max="13316" width="81.7109375" style="189" customWidth="1"/>
    <col min="13317" max="13317" width="37.140625" style="189" customWidth="1"/>
    <col min="13318" max="13318" width="24.7109375" style="189" customWidth="1"/>
    <col min="13319" max="13319" width="11.7109375" style="189" customWidth="1"/>
    <col min="13320" max="13320" width="12" style="189" bestFit="1" customWidth="1"/>
    <col min="13321" max="13321" width="21.7109375" style="189" customWidth="1"/>
    <col min="13322" max="13569" width="9.140625" style="189"/>
    <col min="13570" max="13570" width="4.5703125" style="189" customWidth="1"/>
    <col min="13571" max="13571" width="6.85546875" style="189" customWidth="1"/>
    <col min="13572" max="13572" width="81.7109375" style="189" customWidth="1"/>
    <col min="13573" max="13573" width="37.140625" style="189" customWidth="1"/>
    <col min="13574" max="13574" width="24.7109375" style="189" customWidth="1"/>
    <col min="13575" max="13575" width="11.7109375" style="189" customWidth="1"/>
    <col min="13576" max="13576" width="12" style="189" bestFit="1" customWidth="1"/>
    <col min="13577" max="13577" width="21.7109375" style="189" customWidth="1"/>
    <col min="13578" max="13825" width="9.140625" style="189"/>
    <col min="13826" max="13826" width="4.5703125" style="189" customWidth="1"/>
    <col min="13827" max="13827" width="6.85546875" style="189" customWidth="1"/>
    <col min="13828" max="13828" width="81.7109375" style="189" customWidth="1"/>
    <col min="13829" max="13829" width="37.140625" style="189" customWidth="1"/>
    <col min="13830" max="13830" width="24.7109375" style="189" customWidth="1"/>
    <col min="13831" max="13831" width="11.7109375" style="189" customWidth="1"/>
    <col min="13832" max="13832" width="12" style="189" bestFit="1" customWidth="1"/>
    <col min="13833" max="13833" width="21.7109375" style="189" customWidth="1"/>
    <col min="13834" max="14081" width="9.140625" style="189"/>
    <col min="14082" max="14082" width="4.5703125" style="189" customWidth="1"/>
    <col min="14083" max="14083" width="6.85546875" style="189" customWidth="1"/>
    <col min="14084" max="14084" width="81.7109375" style="189" customWidth="1"/>
    <col min="14085" max="14085" width="37.140625" style="189" customWidth="1"/>
    <col min="14086" max="14086" width="24.7109375" style="189" customWidth="1"/>
    <col min="14087" max="14087" width="11.7109375" style="189" customWidth="1"/>
    <col min="14088" max="14088" width="12" style="189" bestFit="1" customWidth="1"/>
    <col min="14089" max="14089" width="21.7109375" style="189" customWidth="1"/>
    <col min="14090" max="14337" width="9.140625" style="189"/>
    <col min="14338" max="14338" width="4.5703125" style="189" customWidth="1"/>
    <col min="14339" max="14339" width="6.85546875" style="189" customWidth="1"/>
    <col min="14340" max="14340" width="81.7109375" style="189" customWidth="1"/>
    <col min="14341" max="14341" width="37.140625" style="189" customWidth="1"/>
    <col min="14342" max="14342" width="24.7109375" style="189" customWidth="1"/>
    <col min="14343" max="14343" width="11.7109375" style="189" customWidth="1"/>
    <col min="14344" max="14344" width="12" style="189" bestFit="1" customWidth="1"/>
    <col min="14345" max="14345" width="21.7109375" style="189" customWidth="1"/>
    <col min="14346" max="14593" width="9.140625" style="189"/>
    <col min="14594" max="14594" width="4.5703125" style="189" customWidth="1"/>
    <col min="14595" max="14595" width="6.85546875" style="189" customWidth="1"/>
    <col min="14596" max="14596" width="81.7109375" style="189" customWidth="1"/>
    <col min="14597" max="14597" width="37.140625" style="189" customWidth="1"/>
    <col min="14598" max="14598" width="24.7109375" style="189" customWidth="1"/>
    <col min="14599" max="14599" width="11.7109375" style="189" customWidth="1"/>
    <col min="14600" max="14600" width="12" style="189" bestFit="1" customWidth="1"/>
    <col min="14601" max="14601" width="21.7109375" style="189" customWidth="1"/>
    <col min="14602" max="14849" width="9.140625" style="189"/>
    <col min="14850" max="14850" width="4.5703125" style="189" customWidth="1"/>
    <col min="14851" max="14851" width="6.85546875" style="189" customWidth="1"/>
    <col min="14852" max="14852" width="81.7109375" style="189" customWidth="1"/>
    <col min="14853" max="14853" width="37.140625" style="189" customWidth="1"/>
    <col min="14854" max="14854" width="24.7109375" style="189" customWidth="1"/>
    <col min="14855" max="14855" width="11.7109375" style="189" customWidth="1"/>
    <col min="14856" max="14856" width="12" style="189" bestFit="1" customWidth="1"/>
    <col min="14857" max="14857" width="21.7109375" style="189" customWidth="1"/>
    <col min="14858" max="15105" width="9.140625" style="189"/>
    <col min="15106" max="15106" width="4.5703125" style="189" customWidth="1"/>
    <col min="15107" max="15107" width="6.85546875" style="189" customWidth="1"/>
    <col min="15108" max="15108" width="81.7109375" style="189" customWidth="1"/>
    <col min="15109" max="15109" width="37.140625" style="189" customWidth="1"/>
    <col min="15110" max="15110" width="24.7109375" style="189" customWidth="1"/>
    <col min="15111" max="15111" width="11.7109375" style="189" customWidth="1"/>
    <col min="15112" max="15112" width="12" style="189" bestFit="1" customWidth="1"/>
    <col min="15113" max="15113" width="21.7109375" style="189" customWidth="1"/>
    <col min="15114" max="15361" width="9.140625" style="189"/>
    <col min="15362" max="15362" width="4.5703125" style="189" customWidth="1"/>
    <col min="15363" max="15363" width="6.85546875" style="189" customWidth="1"/>
    <col min="15364" max="15364" width="81.7109375" style="189" customWidth="1"/>
    <col min="15365" max="15365" width="37.140625" style="189" customWidth="1"/>
    <col min="15366" max="15366" width="24.7109375" style="189" customWidth="1"/>
    <col min="15367" max="15367" width="11.7109375" style="189" customWidth="1"/>
    <col min="15368" max="15368" width="12" style="189" bestFit="1" customWidth="1"/>
    <col min="15369" max="15369" width="21.7109375" style="189" customWidth="1"/>
    <col min="15370" max="15617" width="9.140625" style="189"/>
    <col min="15618" max="15618" width="4.5703125" style="189" customWidth="1"/>
    <col min="15619" max="15619" width="6.85546875" style="189" customWidth="1"/>
    <col min="15620" max="15620" width="81.7109375" style="189" customWidth="1"/>
    <col min="15621" max="15621" width="37.140625" style="189" customWidth="1"/>
    <col min="15622" max="15622" width="24.7109375" style="189" customWidth="1"/>
    <col min="15623" max="15623" width="11.7109375" style="189" customWidth="1"/>
    <col min="15624" max="15624" width="12" style="189" bestFit="1" customWidth="1"/>
    <col min="15625" max="15625" width="21.7109375" style="189" customWidth="1"/>
    <col min="15626" max="15873" width="9.140625" style="189"/>
    <col min="15874" max="15874" width="4.5703125" style="189" customWidth="1"/>
    <col min="15875" max="15875" width="6.85546875" style="189" customWidth="1"/>
    <col min="15876" max="15876" width="81.7109375" style="189" customWidth="1"/>
    <col min="15877" max="15877" width="37.140625" style="189" customWidth="1"/>
    <col min="15878" max="15878" width="24.7109375" style="189" customWidth="1"/>
    <col min="15879" max="15879" width="11.7109375" style="189" customWidth="1"/>
    <col min="15880" max="15880" width="12" style="189" bestFit="1" customWidth="1"/>
    <col min="15881" max="15881" width="21.7109375" style="189" customWidth="1"/>
    <col min="15882" max="16129" width="9.140625" style="189"/>
    <col min="16130" max="16130" width="4.5703125" style="189" customWidth="1"/>
    <col min="16131" max="16131" width="6.85546875" style="189" customWidth="1"/>
    <col min="16132" max="16132" width="81.7109375" style="189" customWidth="1"/>
    <col min="16133" max="16133" width="37.140625" style="189" customWidth="1"/>
    <col min="16134" max="16134" width="24.7109375" style="189" customWidth="1"/>
    <col min="16135" max="16135" width="11.7109375" style="189" customWidth="1"/>
    <col min="16136" max="16136" width="12" style="189" bestFit="1" customWidth="1"/>
    <col min="16137" max="16137" width="21.7109375" style="189" customWidth="1"/>
    <col min="16138" max="16384" width="9.140625" style="189"/>
  </cols>
  <sheetData>
    <row r="1" spans="1:10" ht="18" customHeight="1" thickBot="1">
      <c r="A1" s="310" t="s">
        <v>3542</v>
      </c>
      <c r="B1" s="310"/>
      <c r="C1" s="310"/>
      <c r="D1" s="310"/>
      <c r="E1" s="310"/>
      <c r="F1" s="310"/>
      <c r="G1" s="310"/>
      <c r="H1" s="310"/>
    </row>
    <row r="2" spans="1:10" ht="30" customHeight="1" thickTop="1">
      <c r="A2" s="190" t="s">
        <v>267</v>
      </c>
      <c r="B2" s="191" t="s">
        <v>268</v>
      </c>
      <c r="C2" s="191" t="s">
        <v>269</v>
      </c>
      <c r="D2" s="191"/>
      <c r="E2" s="191" t="s">
        <v>271</v>
      </c>
      <c r="F2" s="191" t="s">
        <v>272</v>
      </c>
      <c r="G2" s="191" t="s">
        <v>273</v>
      </c>
      <c r="H2" s="192" t="s">
        <v>274</v>
      </c>
    </row>
    <row r="3" spans="1:10" s="198" customFormat="1" ht="12" customHeight="1" thickBot="1">
      <c r="A3" s="193">
        <v>1</v>
      </c>
      <c r="B3" s="194">
        <v>2</v>
      </c>
      <c r="C3" s="194" t="s">
        <v>3543</v>
      </c>
      <c r="D3" s="194"/>
      <c r="E3" s="195">
        <v>4</v>
      </c>
      <c r="F3" s="196">
        <v>5</v>
      </c>
      <c r="G3" s="196">
        <v>6</v>
      </c>
      <c r="H3" s="197">
        <v>7</v>
      </c>
    </row>
    <row r="4" spans="1:10" s="204" customFormat="1" ht="15" customHeight="1" thickTop="1">
      <c r="A4" s="199">
        <v>1</v>
      </c>
      <c r="B4" s="200">
        <v>19</v>
      </c>
      <c r="C4" s="201" t="s">
        <v>3544</v>
      </c>
      <c r="D4" s="212" t="str">
        <f t="shared" ref="D4:D67" si="0">C4&amp;" ("&amp;B4&amp;")"</f>
        <v>HRVATSKI SABOR (19)</v>
      </c>
      <c r="E4" s="201" t="s">
        <v>3545</v>
      </c>
      <c r="F4" s="201" t="s">
        <v>276</v>
      </c>
      <c r="G4" s="202">
        <v>3205860</v>
      </c>
      <c r="H4" s="203" t="s">
        <v>3546</v>
      </c>
    </row>
    <row r="5" spans="1:10" s="204" customFormat="1" ht="15" customHeight="1">
      <c r="A5" s="199">
        <f>+A4+1</f>
        <v>2</v>
      </c>
      <c r="B5" s="205">
        <v>52321</v>
      </c>
      <c r="C5" s="201" t="s">
        <v>3547</v>
      </c>
      <c r="D5" s="212" t="str">
        <f t="shared" si="0"/>
        <v>POVJERENSTVO ZA FISKALNU POLITIKU (52321)</v>
      </c>
      <c r="E5" s="201" t="s">
        <v>3548</v>
      </c>
      <c r="F5" s="201" t="s">
        <v>276</v>
      </c>
      <c r="G5" s="202">
        <v>5513260</v>
      </c>
      <c r="H5" s="203" t="s">
        <v>3549</v>
      </c>
    </row>
    <row r="6" spans="1:10" s="204" customFormat="1" ht="15" customHeight="1">
      <c r="A6" s="199">
        <f t="shared" ref="A6:A69" si="1">+A5+1</f>
        <v>3</v>
      </c>
      <c r="B6" s="206">
        <v>42434</v>
      </c>
      <c r="C6" s="207" t="s">
        <v>3550</v>
      </c>
      <c r="D6" s="212" t="str">
        <f t="shared" si="0"/>
        <v>DRŽAVNO IZBORNO POVJERENSTVO REPUBLIKE HRVATSKE (42434)</v>
      </c>
      <c r="E6" s="207" t="s">
        <v>3551</v>
      </c>
      <c r="F6" s="207" t="s">
        <v>276</v>
      </c>
      <c r="G6" s="208">
        <v>2197278</v>
      </c>
      <c r="H6" s="209" t="s">
        <v>3552</v>
      </c>
    </row>
    <row r="7" spans="1:10" s="204" customFormat="1" ht="15" customHeight="1">
      <c r="A7" s="199">
        <f t="shared" si="1"/>
        <v>4</v>
      </c>
      <c r="B7" s="206">
        <v>46028</v>
      </c>
      <c r="C7" s="201" t="s">
        <v>3553</v>
      </c>
      <c r="D7" s="212" t="str">
        <f t="shared" si="0"/>
        <v>URED PREDSJEDNICE REPUBLIKE HRVATSKE PO PRESTANKU OBNAŠANJA DUŽNOSTI (46028)</v>
      </c>
      <c r="E7" s="201" t="s">
        <v>3554</v>
      </c>
      <c r="F7" s="201" t="s">
        <v>276</v>
      </c>
      <c r="G7" s="202">
        <v>2611660</v>
      </c>
      <c r="H7" s="203" t="s">
        <v>3555</v>
      </c>
    </row>
    <row r="8" spans="1:10" ht="15" customHeight="1">
      <c r="A8" s="199">
        <f t="shared" si="1"/>
        <v>5</v>
      </c>
      <c r="B8" s="206">
        <v>35</v>
      </c>
      <c r="C8" s="201" t="s">
        <v>3556</v>
      </c>
      <c r="D8" s="212" t="str">
        <f t="shared" si="0"/>
        <v>URED PREDSJEDNIKA REPUBLIKE HRVATSKE (35)</v>
      </c>
      <c r="E8" s="201" t="s">
        <v>3557</v>
      </c>
      <c r="F8" s="201" t="s">
        <v>276</v>
      </c>
      <c r="G8" s="202">
        <v>3220346</v>
      </c>
      <c r="H8" s="203" t="s">
        <v>3558</v>
      </c>
      <c r="J8" s="204"/>
    </row>
    <row r="9" spans="1:10" s="204" customFormat="1" ht="15" customHeight="1">
      <c r="A9" s="199">
        <f t="shared" si="1"/>
        <v>6</v>
      </c>
      <c r="B9" s="206">
        <v>6031</v>
      </c>
      <c r="C9" s="201" t="s">
        <v>3559</v>
      </c>
      <c r="D9" s="212" t="str">
        <f t="shared" si="0"/>
        <v>USTAVNI SUD REPUBLIKE HRVATSKE (6031)</v>
      </c>
      <c r="E9" s="201" t="s">
        <v>3560</v>
      </c>
      <c r="F9" s="201" t="s">
        <v>276</v>
      </c>
      <c r="G9" s="202">
        <v>3206084</v>
      </c>
      <c r="H9" s="203" t="s">
        <v>3561</v>
      </c>
    </row>
    <row r="10" spans="1:10" s="204" customFormat="1" ht="15" customHeight="1">
      <c r="A10" s="199">
        <f t="shared" si="1"/>
        <v>7</v>
      </c>
      <c r="B10" s="206">
        <v>20833</v>
      </c>
      <c r="C10" s="201" t="s">
        <v>3562</v>
      </c>
      <c r="D10" s="212" t="str">
        <f t="shared" si="0"/>
        <v>AGENCIJA ZA ZAŠTITU TRŽIŠNOG NATJECANJA (20833)</v>
      </c>
      <c r="E10" s="201" t="s">
        <v>3563</v>
      </c>
      <c r="F10" s="201" t="s">
        <v>276</v>
      </c>
      <c r="G10" s="202">
        <v>1253433</v>
      </c>
      <c r="H10" s="203" t="s">
        <v>3564</v>
      </c>
    </row>
    <row r="11" spans="1:10" s="204" customFormat="1" ht="15" customHeight="1">
      <c r="A11" s="199">
        <f t="shared" si="1"/>
        <v>8</v>
      </c>
      <c r="B11" s="206">
        <v>51</v>
      </c>
      <c r="C11" s="201" t="s">
        <v>3565</v>
      </c>
      <c r="D11" s="212" t="str">
        <f t="shared" si="0"/>
        <v>VLADA REPUBLIKE HRVATSKE (51)</v>
      </c>
      <c r="E11" s="201" t="s">
        <v>3566</v>
      </c>
      <c r="F11" s="201" t="s">
        <v>276</v>
      </c>
      <c r="G11" s="202">
        <v>3205924</v>
      </c>
      <c r="H11" s="203" t="s">
        <v>3567</v>
      </c>
    </row>
    <row r="12" spans="1:10" ht="15" customHeight="1">
      <c r="A12" s="210">
        <f t="shared" si="1"/>
        <v>9</v>
      </c>
      <c r="B12" s="211">
        <v>23753</v>
      </c>
      <c r="C12" s="212" t="s">
        <v>3568</v>
      </c>
      <c r="D12" s="212" t="str">
        <f t="shared" si="0"/>
        <v>URED PREDSJEDNIKA VLADE REPUBLIKE HRVATSKE (23753)</v>
      </c>
      <c r="E12" s="212" t="s">
        <v>3566</v>
      </c>
      <c r="F12" s="212" t="s">
        <v>276</v>
      </c>
      <c r="G12" s="213">
        <v>1676504</v>
      </c>
      <c r="H12" s="214" t="s">
        <v>3569</v>
      </c>
      <c r="J12" s="204"/>
    </row>
    <row r="13" spans="1:10" ht="15" customHeight="1">
      <c r="A13" s="210">
        <f t="shared" si="1"/>
        <v>10</v>
      </c>
      <c r="B13" s="211">
        <v>51386</v>
      </c>
      <c r="C13" s="212" t="s">
        <v>3570</v>
      </c>
      <c r="D13" s="212" t="str">
        <f t="shared" si="0"/>
        <v>URED POTPREDSJEDNIKA VLADE REPUBLIKE HRVATSKE (51386)</v>
      </c>
      <c r="E13" s="212" t="s">
        <v>3566</v>
      </c>
      <c r="F13" s="212" t="s">
        <v>276</v>
      </c>
      <c r="G13" s="213">
        <v>5294584</v>
      </c>
      <c r="H13" s="214" t="s">
        <v>3571</v>
      </c>
      <c r="J13" s="204"/>
    </row>
    <row r="14" spans="1:10" ht="15" customHeight="1">
      <c r="A14" s="210">
        <f t="shared" si="1"/>
        <v>11</v>
      </c>
      <c r="B14" s="211">
        <v>22275</v>
      </c>
      <c r="C14" s="212" t="s">
        <v>3572</v>
      </c>
      <c r="D14" s="212" t="str">
        <f t="shared" si="0"/>
        <v>URED ZA UDRUGE (22275)</v>
      </c>
      <c r="E14" s="212" t="s">
        <v>3573</v>
      </c>
      <c r="F14" s="212" t="s">
        <v>276</v>
      </c>
      <c r="G14" s="213">
        <v>1404113</v>
      </c>
      <c r="H14" s="214" t="s">
        <v>3574</v>
      </c>
      <c r="J14" s="204"/>
    </row>
    <row r="15" spans="1:10" ht="15" customHeight="1">
      <c r="A15" s="210">
        <f t="shared" si="1"/>
        <v>12</v>
      </c>
      <c r="B15" s="211">
        <v>47406</v>
      </c>
      <c r="C15" s="212" t="s">
        <v>3575</v>
      </c>
      <c r="D15" s="212" t="str">
        <f t="shared" si="0"/>
        <v>URED ZASTUPNIKA REPUBLIKE HRVATSKE PRED EUROPSKIM SUDOM ZA LJUDSKA PRAVA  (47406)</v>
      </c>
      <c r="E15" s="212" t="s">
        <v>3576</v>
      </c>
      <c r="F15" s="212" t="s">
        <v>276</v>
      </c>
      <c r="G15" s="213">
        <v>2864851</v>
      </c>
      <c r="H15" s="214" t="s">
        <v>3577</v>
      </c>
      <c r="J15" s="204"/>
    </row>
    <row r="16" spans="1:10" ht="15" customHeight="1">
      <c r="A16" s="210">
        <f t="shared" si="1"/>
        <v>13</v>
      </c>
      <c r="B16" s="211">
        <v>23979</v>
      </c>
      <c r="C16" s="212" t="s">
        <v>3578</v>
      </c>
      <c r="D16" s="212" t="str">
        <f t="shared" si="0"/>
        <v>STRUČNA SLUŽBA SAVJETA ZA NACIONALNE MANJINE (23979)</v>
      </c>
      <c r="E16" s="212" t="s">
        <v>3579</v>
      </c>
      <c r="F16" s="212" t="s">
        <v>276</v>
      </c>
      <c r="G16" s="213">
        <v>1730118</v>
      </c>
      <c r="H16" s="214" t="s">
        <v>3580</v>
      </c>
      <c r="J16" s="204"/>
    </row>
    <row r="17" spans="1:10" ht="15" customHeight="1">
      <c r="A17" s="210">
        <f t="shared" si="1"/>
        <v>14</v>
      </c>
      <c r="B17" s="211">
        <v>115</v>
      </c>
      <c r="C17" s="212" t="s">
        <v>3581</v>
      </c>
      <c r="D17" s="212" t="str">
        <f t="shared" si="0"/>
        <v>URED ZA ZAKONODAVSTVO (115)</v>
      </c>
      <c r="E17" s="212" t="s">
        <v>3566</v>
      </c>
      <c r="F17" s="212" t="s">
        <v>276</v>
      </c>
      <c r="G17" s="213">
        <v>3205959</v>
      </c>
      <c r="H17" s="214" t="s">
        <v>3582</v>
      </c>
      <c r="J17" s="204"/>
    </row>
    <row r="18" spans="1:10" ht="15" customHeight="1">
      <c r="A18" s="210">
        <f t="shared" si="1"/>
        <v>15</v>
      </c>
      <c r="B18" s="211">
        <v>123</v>
      </c>
      <c r="C18" s="212" t="s">
        <v>3583</v>
      </c>
      <c r="D18" s="212" t="str">
        <f t="shared" si="0"/>
        <v>URED ZA OPĆE POSLOVE HRVATSKOG SABORA I VLADE REPUBLIKE HRVATSKE (123)</v>
      </c>
      <c r="E18" s="212" t="s">
        <v>3584</v>
      </c>
      <c r="F18" s="212" t="s">
        <v>276</v>
      </c>
      <c r="G18" s="213">
        <v>3205916</v>
      </c>
      <c r="H18" s="214" t="s">
        <v>3585</v>
      </c>
      <c r="J18" s="204"/>
    </row>
    <row r="19" spans="1:10" ht="15" customHeight="1">
      <c r="A19" s="210">
        <f t="shared" si="1"/>
        <v>16</v>
      </c>
      <c r="B19" s="211">
        <v>23673</v>
      </c>
      <c r="C19" s="212" t="s">
        <v>3586</v>
      </c>
      <c r="D19" s="212" t="str">
        <f t="shared" si="0"/>
        <v>URED ZA PROTOKOL (23673)</v>
      </c>
      <c r="E19" s="212" t="s">
        <v>3566</v>
      </c>
      <c r="F19" s="212" t="s">
        <v>276</v>
      </c>
      <c r="G19" s="213">
        <v>1594478</v>
      </c>
      <c r="H19" s="214" t="s">
        <v>3587</v>
      </c>
      <c r="J19" s="204"/>
    </row>
    <row r="20" spans="1:10" ht="15" customHeight="1">
      <c r="A20" s="210">
        <f t="shared" si="1"/>
        <v>17</v>
      </c>
      <c r="B20" s="211">
        <v>23745</v>
      </c>
      <c r="C20" s="212" t="s">
        <v>3588</v>
      </c>
      <c r="D20" s="212" t="str">
        <f t="shared" si="0"/>
        <v>URED VLADE REPUBLIKE HRVATSKE ZA UNUTARNJU REVIZIJU (23745)</v>
      </c>
      <c r="E20" s="212" t="s">
        <v>3589</v>
      </c>
      <c r="F20" s="212" t="s">
        <v>276</v>
      </c>
      <c r="G20" s="213">
        <v>1654098</v>
      </c>
      <c r="H20" s="214" t="s">
        <v>3590</v>
      </c>
      <c r="J20" s="204"/>
    </row>
    <row r="21" spans="1:10" ht="24">
      <c r="A21" s="210">
        <f t="shared" si="1"/>
        <v>18</v>
      </c>
      <c r="B21" s="211">
        <v>23690</v>
      </c>
      <c r="C21" s="212" t="s">
        <v>3591</v>
      </c>
      <c r="D21" s="212" t="str">
        <f t="shared" si="0"/>
        <v>DIREKCIJA ZA KORIŠTENJE SLUŽBENIH ZRAKOPLOVA (23690)</v>
      </c>
      <c r="E21" s="212" t="s">
        <v>3592</v>
      </c>
      <c r="F21" s="212" t="s">
        <v>3593</v>
      </c>
      <c r="G21" s="213">
        <v>1604686</v>
      </c>
      <c r="H21" s="214" t="s">
        <v>3594</v>
      </c>
      <c r="J21" s="204"/>
    </row>
    <row r="22" spans="1:10" ht="15" customHeight="1">
      <c r="A22" s="210">
        <f t="shared" si="1"/>
        <v>19</v>
      </c>
      <c r="B22" s="211">
        <v>47422</v>
      </c>
      <c r="C22" s="212" t="s">
        <v>3595</v>
      </c>
      <c r="D22" s="212" t="str">
        <f t="shared" si="0"/>
        <v>URED ZA LJUDSKA PRAVA I PRAVA NACIONALNH MANJINA (47422)</v>
      </c>
      <c r="E22" s="212" t="s">
        <v>3579</v>
      </c>
      <c r="F22" s="212" t="s">
        <v>276</v>
      </c>
      <c r="G22" s="213">
        <v>2872781</v>
      </c>
      <c r="H22" s="214" t="s">
        <v>3596</v>
      </c>
      <c r="J22" s="204"/>
    </row>
    <row r="23" spans="1:10" ht="15" customHeight="1">
      <c r="A23" s="210">
        <f t="shared" si="1"/>
        <v>20</v>
      </c>
      <c r="B23" s="211">
        <v>48066</v>
      </c>
      <c r="C23" s="212" t="s">
        <v>3597</v>
      </c>
      <c r="D23" s="212" t="str">
        <f t="shared" si="0"/>
        <v>URED KOMISIJE ZA ODNOSE S VJERSKIM ZAJEDNICAMA (48066)</v>
      </c>
      <c r="E23" s="212" t="s">
        <v>3579</v>
      </c>
      <c r="F23" s="212" t="s">
        <v>276</v>
      </c>
      <c r="G23" s="215" t="s">
        <v>3598</v>
      </c>
      <c r="H23" s="214" t="s">
        <v>3599</v>
      </c>
      <c r="J23" s="204"/>
    </row>
    <row r="24" spans="1:10" ht="15" customHeight="1">
      <c r="A24" s="210">
        <f t="shared" si="1"/>
        <v>21</v>
      </c>
      <c r="B24" s="211">
        <v>24051</v>
      </c>
      <c r="C24" s="212" t="s">
        <v>3600</v>
      </c>
      <c r="D24" s="212" t="str">
        <f t="shared" si="0"/>
        <v>URED ZA RAVNOPRAVNOST SPOLOVA (24051)</v>
      </c>
      <c r="E24" s="212" t="s">
        <v>3579</v>
      </c>
      <c r="F24" s="212" t="s">
        <v>276</v>
      </c>
      <c r="G24" s="213">
        <v>1815342</v>
      </c>
      <c r="H24" s="214" t="s">
        <v>3601</v>
      </c>
      <c r="I24" s="216"/>
      <c r="J24" s="204"/>
    </row>
    <row r="25" spans="1:10" s="204" customFormat="1" ht="15" customHeight="1">
      <c r="A25" s="199">
        <f t="shared" si="1"/>
        <v>22</v>
      </c>
      <c r="B25" s="206">
        <v>20157</v>
      </c>
      <c r="C25" s="201" t="s">
        <v>3602</v>
      </c>
      <c r="D25" s="212" t="str">
        <f t="shared" si="0"/>
        <v>MINISTARSTVO FINANCIJA (20157)</v>
      </c>
      <c r="E25" s="201" t="s">
        <v>3603</v>
      </c>
      <c r="F25" s="201" t="s">
        <v>276</v>
      </c>
      <c r="G25" s="202">
        <v>3205991</v>
      </c>
      <c r="H25" s="203" t="s">
        <v>3604</v>
      </c>
    </row>
    <row r="26" spans="1:10" ht="15" customHeight="1">
      <c r="A26" s="210">
        <f>+A25+1</f>
        <v>23</v>
      </c>
      <c r="B26" s="211">
        <v>43732</v>
      </c>
      <c r="C26" s="212" t="s">
        <v>3605</v>
      </c>
      <c r="D26" s="212" t="str">
        <f t="shared" si="0"/>
        <v>AGENCIJA ZA REVIZIJU SUSTAVA PROVEDBE PROGRAMA EUROPSKE UNIJE (43732)</v>
      </c>
      <c r="E26" s="212" t="s">
        <v>3606</v>
      </c>
      <c r="F26" s="212" t="s">
        <v>276</v>
      </c>
      <c r="G26" s="213">
        <v>2400774</v>
      </c>
      <c r="H26" s="214" t="s">
        <v>3607</v>
      </c>
      <c r="J26" s="204"/>
    </row>
    <row r="27" spans="1:10" ht="15" customHeight="1">
      <c r="A27" s="210">
        <f t="shared" si="1"/>
        <v>24</v>
      </c>
      <c r="B27" s="211">
        <v>49286</v>
      </c>
      <c r="C27" s="212" t="s">
        <v>3608</v>
      </c>
      <c r="D27" s="212" t="str">
        <f t="shared" si="0"/>
        <v>ODBOR ZA STANDARDE FINANCIJSKOG IZVJEŠTAVANJA (49286)</v>
      </c>
      <c r="E27" s="212" t="s">
        <v>3603</v>
      </c>
      <c r="F27" s="212" t="s">
        <v>276</v>
      </c>
      <c r="G27" s="215" t="s">
        <v>3609</v>
      </c>
      <c r="H27" s="214" t="s">
        <v>3610</v>
      </c>
      <c r="J27" s="204"/>
    </row>
    <row r="28" spans="1:10" s="204" customFormat="1" ht="15" customHeight="1">
      <c r="A28" s="199">
        <f t="shared" si="1"/>
        <v>25</v>
      </c>
      <c r="B28" s="206">
        <v>40834</v>
      </c>
      <c r="C28" s="207" t="s">
        <v>3611</v>
      </c>
      <c r="D28" s="212" t="str">
        <f t="shared" si="0"/>
        <v>SIGURNOSNO OBAVJEŠTAJNA AGENCIJA (40834)</v>
      </c>
      <c r="E28" s="207" t="s">
        <v>3612</v>
      </c>
      <c r="F28" s="207" t="s">
        <v>276</v>
      </c>
      <c r="G28" s="208">
        <v>2111004</v>
      </c>
      <c r="H28" s="209" t="s">
        <v>3613</v>
      </c>
    </row>
    <row r="29" spans="1:10" s="204" customFormat="1" ht="15" customHeight="1">
      <c r="A29" s="199">
        <f t="shared" si="1"/>
        <v>26</v>
      </c>
      <c r="B29" s="206">
        <v>47334</v>
      </c>
      <c r="C29" s="207" t="s">
        <v>3614</v>
      </c>
      <c r="D29" s="212" t="str">
        <f t="shared" si="0"/>
        <v>SREDIŠNJI DRŽAVNI URED ZA SREDIŠNJU JAVNU NABAVU (47334)</v>
      </c>
      <c r="E29" s="207" t="s">
        <v>3615</v>
      </c>
      <c r="F29" s="207" t="s">
        <v>276</v>
      </c>
      <c r="G29" s="208">
        <v>2840731</v>
      </c>
      <c r="H29" s="209" t="s">
        <v>3616</v>
      </c>
    </row>
    <row r="30" spans="1:10" s="204" customFormat="1" ht="15" customHeight="1">
      <c r="A30" s="199">
        <f t="shared" si="1"/>
        <v>27</v>
      </c>
      <c r="B30" s="206">
        <v>174</v>
      </c>
      <c r="C30" s="207" t="s">
        <v>3617</v>
      </c>
      <c r="D30" s="212" t="str">
        <f t="shared" si="0"/>
        <v>MINISTARSTVO OBRANE (174)</v>
      </c>
      <c r="E30" s="207" t="s">
        <v>3618</v>
      </c>
      <c r="F30" s="207" t="s">
        <v>276</v>
      </c>
      <c r="G30" s="208">
        <v>3207595</v>
      </c>
      <c r="H30" s="209" t="s">
        <v>3619</v>
      </c>
    </row>
    <row r="31" spans="1:10" s="204" customFormat="1" ht="15" customHeight="1">
      <c r="A31" s="199">
        <f t="shared" si="1"/>
        <v>28</v>
      </c>
      <c r="B31" s="206">
        <v>47439</v>
      </c>
      <c r="C31" s="207" t="s">
        <v>3620</v>
      </c>
      <c r="D31" s="212" t="str">
        <f t="shared" si="0"/>
        <v>SREDIŠNJI DRŽAVNI URED ZA HRVATE IZVAN REPUBLIKE HRVATSKE (47439)</v>
      </c>
      <c r="E31" s="207" t="s">
        <v>3621</v>
      </c>
      <c r="F31" s="207" t="s">
        <v>276</v>
      </c>
      <c r="G31" s="208">
        <v>2875004</v>
      </c>
      <c r="H31" s="209" t="s">
        <v>3622</v>
      </c>
    </row>
    <row r="32" spans="1:10" s="204" customFormat="1" ht="15" customHeight="1">
      <c r="A32" s="210">
        <f t="shared" si="1"/>
        <v>29</v>
      </c>
      <c r="B32" s="211">
        <v>25917</v>
      </c>
      <c r="C32" s="212" t="s">
        <v>3623</v>
      </c>
      <c r="D32" s="212" t="str">
        <f t="shared" si="0"/>
        <v>HRVATSKA MATICA ISELJENIKA (25917)</v>
      </c>
      <c r="E32" s="212" t="s">
        <v>586</v>
      </c>
      <c r="F32" s="212" t="s">
        <v>276</v>
      </c>
      <c r="G32" s="213">
        <v>3277348</v>
      </c>
      <c r="H32" s="214" t="s">
        <v>3624</v>
      </c>
    </row>
    <row r="33" spans="1:10" s="204" customFormat="1" ht="15" customHeight="1">
      <c r="A33" s="199">
        <f t="shared" si="1"/>
        <v>30</v>
      </c>
      <c r="B33" s="206">
        <v>47932</v>
      </c>
      <c r="C33" s="207" t="s">
        <v>3625</v>
      </c>
      <c r="D33" s="212" t="str">
        <f t="shared" si="0"/>
        <v>SREDIŠNJI DRŽAVNI URED ZA OBNOVU I STAMBENO ZBRINJAVANJE  (47932)</v>
      </c>
      <c r="E33" s="207" t="s">
        <v>3626</v>
      </c>
      <c r="F33" s="207" t="s">
        <v>276</v>
      </c>
      <c r="G33" s="208">
        <v>4041186</v>
      </c>
      <c r="H33" s="209" t="s">
        <v>3627</v>
      </c>
    </row>
    <row r="34" spans="1:10" s="204" customFormat="1" ht="15" customHeight="1">
      <c r="A34" s="199">
        <f t="shared" si="1"/>
        <v>31</v>
      </c>
      <c r="B34" s="206">
        <v>49585</v>
      </c>
      <c r="C34" s="207" t="s">
        <v>3628</v>
      </c>
      <c r="D34" s="212" t="str">
        <f t="shared" si="0"/>
        <v>SREDIŠNJI DRŽAVNI URED ZA RAZVOJ DIGITALNOG DRUŠTVA (49585)</v>
      </c>
      <c r="E34" s="207" t="s">
        <v>3615</v>
      </c>
      <c r="F34" s="207" t="s">
        <v>276</v>
      </c>
      <c r="G34" s="217" t="s">
        <v>3629</v>
      </c>
      <c r="H34" s="209" t="s">
        <v>3630</v>
      </c>
    </row>
    <row r="35" spans="1:10" s="204" customFormat="1" ht="15" customHeight="1">
      <c r="A35" s="199">
        <f t="shared" si="1"/>
        <v>32</v>
      </c>
      <c r="B35" s="206">
        <v>51409</v>
      </c>
      <c r="C35" s="207" t="s">
        <v>3631</v>
      </c>
      <c r="D35" s="212" t="str">
        <f t="shared" si="0"/>
        <v>SREDIŠNJI DRŽAVNI URED ZA DEMOGRAFIJU I MLADE (51409)</v>
      </c>
      <c r="E35" s="207" t="s">
        <v>3632</v>
      </c>
      <c r="F35" s="207" t="s">
        <v>276</v>
      </c>
      <c r="G35" s="217">
        <v>5292441</v>
      </c>
      <c r="H35" s="209" t="s">
        <v>3633</v>
      </c>
    </row>
    <row r="36" spans="1:10" s="204" customFormat="1" ht="15" customHeight="1">
      <c r="A36" s="199">
        <f t="shared" si="1"/>
        <v>33</v>
      </c>
      <c r="B36" s="206">
        <v>50985</v>
      </c>
      <c r="C36" s="207" t="s">
        <v>3634</v>
      </c>
      <c r="D36" s="212" t="str">
        <f t="shared" si="0"/>
        <v>HRVATSKA VATROGASNA ZAJEDNICA (50985)</v>
      </c>
      <c r="E36" s="207" t="s">
        <v>3635</v>
      </c>
      <c r="F36" s="207" t="s">
        <v>276</v>
      </c>
      <c r="G36" s="208">
        <v>5205689</v>
      </c>
      <c r="H36" s="209" t="s">
        <v>3636</v>
      </c>
    </row>
    <row r="37" spans="1:10" s="204" customFormat="1" ht="15" customHeight="1">
      <c r="A37" s="210">
        <f t="shared" si="1"/>
        <v>34</v>
      </c>
      <c r="B37" s="211">
        <v>51853</v>
      </c>
      <c r="C37" s="212" t="s">
        <v>3637</v>
      </c>
      <c r="D37" s="212" t="str">
        <f t="shared" si="0"/>
        <v>DRŽAVNA VATROGASNA ŠKOLA (51853)</v>
      </c>
      <c r="E37" s="212" t="s">
        <v>3638</v>
      </c>
      <c r="F37" s="212" t="s">
        <v>276</v>
      </c>
      <c r="G37" s="213">
        <v>5379229</v>
      </c>
      <c r="H37" s="214">
        <v>68850110329</v>
      </c>
    </row>
    <row r="38" spans="1:10" s="204" customFormat="1" ht="15" customHeight="1">
      <c r="A38" s="199">
        <f t="shared" si="1"/>
        <v>35</v>
      </c>
      <c r="B38" s="206">
        <v>713</v>
      </c>
      <c r="C38" s="207" t="s">
        <v>3639</v>
      </c>
      <c r="D38" s="212" t="str">
        <f t="shared" si="0"/>
        <v>MINISTARSTVO UNUTARNJIH POSLOVA (713)</v>
      </c>
      <c r="E38" s="207" t="s">
        <v>3640</v>
      </c>
      <c r="F38" s="207" t="s">
        <v>276</v>
      </c>
      <c r="G38" s="208">
        <v>3281418</v>
      </c>
      <c r="H38" s="209" t="s">
        <v>3641</v>
      </c>
    </row>
    <row r="39" spans="1:10" s="204" customFormat="1" ht="15" customHeight="1">
      <c r="A39" s="199">
        <f t="shared" si="1"/>
        <v>36</v>
      </c>
      <c r="B39" s="206">
        <v>47037</v>
      </c>
      <c r="C39" s="207" t="s">
        <v>3642</v>
      </c>
      <c r="D39" s="212" t="str">
        <f t="shared" si="0"/>
        <v>MINISTARSTVO HRVATSKIH BRANITELJA (47037)</v>
      </c>
      <c r="E39" s="218" t="s">
        <v>3632</v>
      </c>
      <c r="F39" s="207" t="s">
        <v>276</v>
      </c>
      <c r="G39" s="208">
        <v>2829541</v>
      </c>
      <c r="H39" s="209" t="s">
        <v>3643</v>
      </c>
    </row>
    <row r="40" spans="1:10" s="204" customFormat="1" ht="15" customHeight="1">
      <c r="A40" s="210">
        <f t="shared" si="1"/>
        <v>37</v>
      </c>
      <c r="B40" s="211">
        <v>48314</v>
      </c>
      <c r="C40" s="212" t="s">
        <v>3644</v>
      </c>
      <c r="D40" s="212" t="str">
        <f t="shared" si="0"/>
        <v>JAVNA USTANOVA MEMORIJALNI CENTAR DOMOVINSKOG RATA VUKOVAR (48314)</v>
      </c>
      <c r="E40" s="212" t="s">
        <v>3645</v>
      </c>
      <c r="F40" s="212" t="s">
        <v>502</v>
      </c>
      <c r="G40" s="213">
        <v>4140966</v>
      </c>
      <c r="H40" s="214" t="s">
        <v>3646</v>
      </c>
    </row>
    <row r="41" spans="1:10" ht="15" customHeight="1">
      <c r="A41" s="210">
        <f t="shared" si="1"/>
        <v>38</v>
      </c>
      <c r="B41" s="211">
        <v>48710</v>
      </c>
      <c r="C41" s="212" t="s">
        <v>3647</v>
      </c>
      <c r="D41" s="212" t="str">
        <f t="shared" si="0"/>
        <v>DOM HRVATSKIH VETERANA (48710)</v>
      </c>
      <c r="E41" s="212" t="s">
        <v>3648</v>
      </c>
      <c r="F41" s="212" t="s">
        <v>276</v>
      </c>
      <c r="G41" s="213">
        <v>4335635</v>
      </c>
      <c r="H41" s="214" t="s">
        <v>3649</v>
      </c>
      <c r="J41" s="204"/>
    </row>
    <row r="42" spans="1:10" ht="15" customHeight="1">
      <c r="A42" s="210">
        <f t="shared" si="1"/>
        <v>39</v>
      </c>
      <c r="B42" s="211">
        <v>52313</v>
      </c>
      <c r="C42" s="212" t="s">
        <v>3650</v>
      </c>
      <c r="D42" s="212" t="str">
        <f t="shared" si="0"/>
        <v>VETERANSKI CENTAR (52313)</v>
      </c>
      <c r="E42" s="212" t="s">
        <v>3651</v>
      </c>
      <c r="F42" s="212" t="s">
        <v>276</v>
      </c>
      <c r="G42" s="213">
        <v>5475139</v>
      </c>
      <c r="H42" s="214">
        <v>38617796847</v>
      </c>
      <c r="J42" s="204"/>
    </row>
    <row r="43" spans="1:10" s="204" customFormat="1" ht="15" customHeight="1">
      <c r="A43" s="199">
        <f t="shared" si="1"/>
        <v>40</v>
      </c>
      <c r="B43" s="206">
        <v>721</v>
      </c>
      <c r="C43" s="207" t="s">
        <v>3652</v>
      </c>
      <c r="D43" s="212" t="str">
        <f t="shared" si="0"/>
        <v>MINISTARSTVO VANJSKIH I EUROPSKIH POSLOVA (721)</v>
      </c>
      <c r="E43" s="207" t="s">
        <v>3653</v>
      </c>
      <c r="F43" s="207" t="s">
        <v>276</v>
      </c>
      <c r="G43" s="208">
        <v>3230040</v>
      </c>
      <c r="H43" s="209" t="s">
        <v>3654</v>
      </c>
    </row>
    <row r="44" spans="1:10" s="204" customFormat="1" ht="15" customHeight="1">
      <c r="A44" s="199">
        <f t="shared" si="1"/>
        <v>41</v>
      </c>
      <c r="B44" s="206">
        <v>47852</v>
      </c>
      <c r="C44" s="207" t="s">
        <v>3655</v>
      </c>
      <c r="D44" s="212" t="str">
        <f t="shared" si="0"/>
        <v>POVJERENSTVO ZA ODLUČIVANJE O SUKOBU INTERESA (47852)</v>
      </c>
      <c r="E44" s="207" t="s">
        <v>3656</v>
      </c>
      <c r="F44" s="207" t="s">
        <v>276</v>
      </c>
      <c r="G44" s="208">
        <v>1850113</v>
      </c>
      <c r="H44" s="209" t="s">
        <v>3657</v>
      </c>
    </row>
    <row r="45" spans="1:10" s="204" customFormat="1" ht="15.75" customHeight="1">
      <c r="A45" s="199">
        <f t="shared" si="1"/>
        <v>42</v>
      </c>
      <c r="B45" s="206">
        <v>756</v>
      </c>
      <c r="C45" s="207" t="s">
        <v>3658</v>
      </c>
      <c r="D45" s="212" t="str">
        <f t="shared" si="0"/>
        <v>MINISTARSTVO KULTURE I MEDIJA (756)</v>
      </c>
      <c r="E45" s="207" t="s">
        <v>3659</v>
      </c>
      <c r="F45" s="207" t="s">
        <v>276</v>
      </c>
      <c r="G45" s="208">
        <v>931608</v>
      </c>
      <c r="H45" s="209" t="s">
        <v>3660</v>
      </c>
    </row>
    <row r="46" spans="1:10" s="204" customFormat="1" ht="15" customHeight="1">
      <c r="A46" s="210">
        <f t="shared" si="1"/>
        <v>43</v>
      </c>
      <c r="B46" s="211">
        <v>789</v>
      </c>
      <c r="C46" s="212" t="s">
        <v>3661</v>
      </c>
      <c r="D46" s="212" t="str">
        <f t="shared" si="0"/>
        <v>DRŽAVNI ARHIV U BJELOVARU (789)</v>
      </c>
      <c r="E46" s="212" t="s">
        <v>3662</v>
      </c>
      <c r="F46" s="212" t="s">
        <v>3663</v>
      </c>
      <c r="G46" s="213">
        <v>3316734</v>
      </c>
      <c r="H46" s="214" t="s">
        <v>3664</v>
      </c>
    </row>
    <row r="47" spans="1:10" s="204" customFormat="1" ht="15" customHeight="1">
      <c r="A47" s="210">
        <f t="shared" si="1"/>
        <v>44</v>
      </c>
      <c r="B47" s="211">
        <v>797</v>
      </c>
      <c r="C47" s="212" t="s">
        <v>3665</v>
      </c>
      <c r="D47" s="212" t="str">
        <f t="shared" si="0"/>
        <v>DRŽAVNI ARHIV U DUBROVNIKU (797)</v>
      </c>
      <c r="E47" s="212" t="s">
        <v>3666</v>
      </c>
      <c r="F47" s="212" t="s">
        <v>314</v>
      </c>
      <c r="G47" s="213">
        <v>3303870</v>
      </c>
      <c r="H47" s="214" t="s">
        <v>3667</v>
      </c>
    </row>
    <row r="48" spans="1:10" s="204" customFormat="1" ht="15" customHeight="1">
      <c r="A48" s="210">
        <f t="shared" si="1"/>
        <v>45</v>
      </c>
      <c r="B48" s="211">
        <v>23577</v>
      </c>
      <c r="C48" s="212" t="s">
        <v>3668</v>
      </c>
      <c r="D48" s="212" t="str">
        <f t="shared" si="0"/>
        <v>DRŽAVNI ARHIV U GOSPIĆU (23577)</v>
      </c>
      <c r="E48" s="212" t="s">
        <v>3669</v>
      </c>
      <c r="F48" s="212" t="s">
        <v>510</v>
      </c>
      <c r="G48" s="213">
        <v>1475444</v>
      </c>
      <c r="H48" s="214" t="s">
        <v>3670</v>
      </c>
    </row>
    <row r="49" spans="1:8" s="204" customFormat="1" ht="15" customHeight="1">
      <c r="A49" s="210">
        <f t="shared" si="1"/>
        <v>46</v>
      </c>
      <c r="B49" s="211">
        <v>801</v>
      </c>
      <c r="C49" s="212" t="s">
        <v>3671</v>
      </c>
      <c r="D49" s="212" t="str">
        <f t="shared" si="0"/>
        <v>DRŽAVNI ARHIV U KARLOVCU (801)</v>
      </c>
      <c r="E49" s="212" t="s">
        <v>3672</v>
      </c>
      <c r="F49" s="212" t="s">
        <v>514</v>
      </c>
      <c r="G49" s="213">
        <v>3123367</v>
      </c>
      <c r="H49" s="214" t="s">
        <v>3673</v>
      </c>
    </row>
    <row r="50" spans="1:8" s="204" customFormat="1" ht="15" customHeight="1">
      <c r="A50" s="210">
        <f t="shared" si="1"/>
        <v>47</v>
      </c>
      <c r="B50" s="211">
        <v>810</v>
      </c>
      <c r="C50" s="212" t="s">
        <v>3674</v>
      </c>
      <c r="D50" s="212" t="str">
        <f t="shared" si="0"/>
        <v>DRŽAVNI ARHIV U OSIJEKU (810)</v>
      </c>
      <c r="E50" s="212" t="s">
        <v>3675</v>
      </c>
      <c r="F50" s="212" t="s">
        <v>279</v>
      </c>
      <c r="G50" s="213">
        <v>3014223</v>
      </c>
      <c r="H50" s="214" t="s">
        <v>3676</v>
      </c>
    </row>
    <row r="51" spans="1:8" s="204" customFormat="1" ht="15" customHeight="1">
      <c r="A51" s="210">
        <f t="shared" si="1"/>
        <v>48</v>
      </c>
      <c r="B51" s="211">
        <v>828</v>
      </c>
      <c r="C51" s="212" t="s">
        <v>3677</v>
      </c>
      <c r="D51" s="212" t="str">
        <f t="shared" si="0"/>
        <v>DRŽAVNI ARHIV U PAZINU (828)</v>
      </c>
      <c r="E51" s="212" t="s">
        <v>3678</v>
      </c>
      <c r="F51" s="212" t="s">
        <v>3679</v>
      </c>
      <c r="G51" s="213">
        <v>3089240</v>
      </c>
      <c r="H51" s="214" t="s">
        <v>3680</v>
      </c>
    </row>
    <row r="52" spans="1:8" s="204" customFormat="1" ht="15" customHeight="1">
      <c r="A52" s="210">
        <f t="shared" si="1"/>
        <v>49</v>
      </c>
      <c r="B52" s="211">
        <v>836</v>
      </c>
      <c r="C52" s="212" t="s">
        <v>3681</v>
      </c>
      <c r="D52" s="212" t="str">
        <f t="shared" si="0"/>
        <v>DRŽAVNI ARHIV U RIJECI (836)</v>
      </c>
      <c r="E52" s="212" t="s">
        <v>3682</v>
      </c>
      <c r="F52" s="212" t="s">
        <v>321</v>
      </c>
      <c r="G52" s="213">
        <v>3321088</v>
      </c>
      <c r="H52" s="214" t="s">
        <v>3683</v>
      </c>
    </row>
    <row r="53" spans="1:8" s="204" customFormat="1" ht="15" customHeight="1">
      <c r="A53" s="210">
        <f t="shared" si="1"/>
        <v>50</v>
      </c>
      <c r="B53" s="211">
        <v>844</v>
      </c>
      <c r="C53" s="212" t="s">
        <v>3684</v>
      </c>
      <c r="D53" s="212" t="str">
        <f t="shared" si="0"/>
        <v>DRŽAVNI ARHIV U SISKU (844)</v>
      </c>
      <c r="E53" s="212" t="s">
        <v>3685</v>
      </c>
      <c r="F53" s="212" t="s">
        <v>1727</v>
      </c>
      <c r="G53" s="213">
        <v>3313824</v>
      </c>
      <c r="H53" s="214" t="s">
        <v>3686</v>
      </c>
    </row>
    <row r="54" spans="1:8" s="204" customFormat="1" ht="15" customHeight="1">
      <c r="A54" s="210">
        <f t="shared" si="1"/>
        <v>51</v>
      </c>
      <c r="B54" s="211">
        <v>852</v>
      </c>
      <c r="C54" s="212" t="s">
        <v>3687</v>
      </c>
      <c r="D54" s="212" t="str">
        <f t="shared" si="0"/>
        <v>DRŽAVNI ARHIV U SLAVONSKOM BRODU (852)</v>
      </c>
      <c r="E54" s="212" t="s">
        <v>3688</v>
      </c>
      <c r="F54" s="212" t="s">
        <v>1772</v>
      </c>
      <c r="G54" s="213">
        <v>3071162</v>
      </c>
      <c r="H54" s="214" t="s">
        <v>3689</v>
      </c>
    </row>
    <row r="55" spans="1:8" s="204" customFormat="1" ht="15" customHeight="1">
      <c r="A55" s="210">
        <f t="shared" si="1"/>
        <v>52</v>
      </c>
      <c r="B55" s="211">
        <v>869</v>
      </c>
      <c r="C55" s="212" t="s">
        <v>3690</v>
      </c>
      <c r="D55" s="212" t="str">
        <f t="shared" si="0"/>
        <v>DRŽAVNI ARHIV U SPLITU (869)</v>
      </c>
      <c r="E55" s="212" t="s">
        <v>3691</v>
      </c>
      <c r="F55" s="212" t="s">
        <v>361</v>
      </c>
      <c r="G55" s="213">
        <v>3118452</v>
      </c>
      <c r="H55" s="214" t="s">
        <v>3692</v>
      </c>
    </row>
    <row r="56" spans="1:8" s="204" customFormat="1" ht="15" customHeight="1">
      <c r="A56" s="210">
        <f t="shared" si="1"/>
        <v>53</v>
      </c>
      <c r="B56" s="211">
        <v>43915</v>
      </c>
      <c r="C56" s="212" t="s">
        <v>3693</v>
      </c>
      <c r="D56" s="212" t="str">
        <f t="shared" si="0"/>
        <v>DRŽAVNI ARHIV U ŠIBENIKU (43915)</v>
      </c>
      <c r="E56" s="212" t="s">
        <v>3694</v>
      </c>
      <c r="F56" s="212" t="s">
        <v>525</v>
      </c>
      <c r="G56" s="213">
        <v>2435411</v>
      </c>
      <c r="H56" s="214" t="s">
        <v>3695</v>
      </c>
    </row>
    <row r="57" spans="1:8" s="204" customFormat="1" ht="15" customHeight="1">
      <c r="A57" s="210">
        <f t="shared" si="1"/>
        <v>54</v>
      </c>
      <c r="B57" s="211">
        <v>877</v>
      </c>
      <c r="C57" s="212" t="s">
        <v>3696</v>
      </c>
      <c r="D57" s="212" t="str">
        <f t="shared" si="0"/>
        <v>DRŽAVNI ARHIV U VARAŽDINU (877)</v>
      </c>
      <c r="E57" s="212" t="s">
        <v>3697</v>
      </c>
      <c r="F57" s="212" t="s">
        <v>446</v>
      </c>
      <c r="G57" s="213">
        <v>3006166</v>
      </c>
      <c r="H57" s="214" t="s">
        <v>3698</v>
      </c>
    </row>
    <row r="58" spans="1:8" s="204" customFormat="1" ht="15" customHeight="1">
      <c r="A58" s="210">
        <f t="shared" si="1"/>
        <v>55</v>
      </c>
      <c r="B58" s="211">
        <v>44493</v>
      </c>
      <c r="C58" s="212" t="s">
        <v>3699</v>
      </c>
      <c r="D58" s="212" t="str">
        <f t="shared" si="0"/>
        <v>DRŽAVNI ARHIV U VIROVITICI  (44493)</v>
      </c>
      <c r="E58" s="212" t="s">
        <v>3700</v>
      </c>
      <c r="F58" s="212" t="s">
        <v>528</v>
      </c>
      <c r="G58" s="213">
        <v>2494841</v>
      </c>
      <c r="H58" s="214" t="s">
        <v>3701</v>
      </c>
    </row>
    <row r="59" spans="1:8" s="204" customFormat="1" ht="15" customHeight="1">
      <c r="A59" s="210">
        <f t="shared" si="1"/>
        <v>56</v>
      </c>
      <c r="B59" s="211">
        <v>43636</v>
      </c>
      <c r="C59" s="212" t="s">
        <v>3702</v>
      </c>
      <c r="D59" s="212" t="str">
        <f t="shared" si="0"/>
        <v>DRŽAVNI ARHIV U VUKOVARU  (43636)</v>
      </c>
      <c r="E59" s="212" t="s">
        <v>3703</v>
      </c>
      <c r="F59" s="212" t="s">
        <v>502</v>
      </c>
      <c r="G59" s="213">
        <v>2334712</v>
      </c>
      <c r="H59" s="214" t="s">
        <v>3704</v>
      </c>
    </row>
    <row r="60" spans="1:8" s="204" customFormat="1" ht="15" customHeight="1">
      <c r="A60" s="210">
        <f t="shared" si="1"/>
        <v>57</v>
      </c>
      <c r="B60" s="211">
        <v>885</v>
      </c>
      <c r="C60" s="212" t="s">
        <v>3705</v>
      </c>
      <c r="D60" s="212" t="str">
        <f t="shared" si="0"/>
        <v>DRŽAVNI ARHIV U ZADRU (885)</v>
      </c>
      <c r="E60" s="212" t="s">
        <v>3706</v>
      </c>
      <c r="F60" s="212" t="s">
        <v>317</v>
      </c>
      <c r="G60" s="213">
        <v>3142019</v>
      </c>
      <c r="H60" s="214" t="s">
        <v>3707</v>
      </c>
    </row>
    <row r="61" spans="1:8" s="204" customFormat="1" ht="15" customHeight="1">
      <c r="A61" s="210">
        <f t="shared" si="1"/>
        <v>58</v>
      </c>
      <c r="B61" s="211">
        <v>893</v>
      </c>
      <c r="C61" s="212" t="s">
        <v>3708</v>
      </c>
      <c r="D61" s="212" t="str">
        <f t="shared" si="0"/>
        <v>DRŽAVNI ARHIV U ZAGREBU (893)</v>
      </c>
      <c r="E61" s="212" t="s">
        <v>3709</v>
      </c>
      <c r="F61" s="212" t="s">
        <v>276</v>
      </c>
      <c r="G61" s="213">
        <v>3224953</v>
      </c>
      <c r="H61" s="214" t="s">
        <v>3710</v>
      </c>
    </row>
    <row r="62" spans="1:8" s="204" customFormat="1" ht="15" customHeight="1">
      <c r="A62" s="210">
        <f t="shared" si="1"/>
        <v>59</v>
      </c>
      <c r="B62" s="211">
        <v>43644</v>
      </c>
      <c r="C62" s="212" t="s">
        <v>3711</v>
      </c>
      <c r="D62" s="212" t="str">
        <f t="shared" si="0"/>
        <v>DRŽAVNI ARHIV ZA MEĐIMURJE  (43644)</v>
      </c>
      <c r="E62" s="212" t="s">
        <v>3712</v>
      </c>
      <c r="F62" s="212" t="s">
        <v>3713</v>
      </c>
      <c r="G62" s="213">
        <v>2326086</v>
      </c>
      <c r="H62" s="214" t="s">
        <v>3714</v>
      </c>
    </row>
    <row r="63" spans="1:8" s="204" customFormat="1" ht="15" customHeight="1">
      <c r="A63" s="210">
        <f t="shared" si="1"/>
        <v>60</v>
      </c>
      <c r="B63" s="211">
        <v>764</v>
      </c>
      <c r="C63" s="212" t="s">
        <v>3715</v>
      </c>
      <c r="D63" s="212" t="str">
        <f t="shared" si="0"/>
        <v>HRVATSKI DRŽAVNI ARHIV (764)</v>
      </c>
      <c r="E63" s="212" t="s">
        <v>3716</v>
      </c>
      <c r="F63" s="212" t="s">
        <v>276</v>
      </c>
      <c r="G63" s="213">
        <v>3205380</v>
      </c>
      <c r="H63" s="214" t="s">
        <v>3717</v>
      </c>
    </row>
    <row r="64" spans="1:8" s="204" customFormat="1" ht="15" customHeight="1">
      <c r="A64" s="210">
        <f t="shared" si="1"/>
        <v>61</v>
      </c>
      <c r="B64" s="211">
        <v>40623</v>
      </c>
      <c r="C64" s="212" t="s">
        <v>3718</v>
      </c>
      <c r="D64" s="212" t="str">
        <f t="shared" si="0"/>
        <v>HRVATSKI MEMORIJALNO-DOKUMENTACIJSKI CENTAR DOMOVINSKOGA RATA (40623)</v>
      </c>
      <c r="E64" s="212" t="s">
        <v>3719</v>
      </c>
      <c r="F64" s="212" t="s">
        <v>276</v>
      </c>
      <c r="G64" s="213">
        <v>1909592</v>
      </c>
      <c r="H64" s="214" t="s">
        <v>3720</v>
      </c>
    </row>
    <row r="65" spans="1:8" s="204" customFormat="1" ht="15" customHeight="1">
      <c r="A65" s="210">
        <f t="shared" si="1"/>
        <v>62</v>
      </c>
      <c r="B65" s="211">
        <v>924</v>
      </c>
      <c r="C65" s="212" t="s">
        <v>3721</v>
      </c>
      <c r="D65" s="212" t="str">
        <f t="shared" si="0"/>
        <v>ARHEOLOŠKI MUZEJ ISTRE (924)</v>
      </c>
      <c r="E65" s="212" t="s">
        <v>3722</v>
      </c>
      <c r="F65" s="212" t="s">
        <v>307</v>
      </c>
      <c r="G65" s="213">
        <v>3203727</v>
      </c>
      <c r="H65" s="214" t="s">
        <v>3723</v>
      </c>
    </row>
    <row r="66" spans="1:8" s="204" customFormat="1" ht="15" customHeight="1">
      <c r="A66" s="210">
        <f t="shared" si="1"/>
        <v>63</v>
      </c>
      <c r="B66" s="211">
        <v>40631</v>
      </c>
      <c r="C66" s="212" t="s">
        <v>3724</v>
      </c>
      <c r="D66" s="212" t="str">
        <f t="shared" si="0"/>
        <v>ARHEOLOŠKI MUZEJ NARONA (40631)</v>
      </c>
      <c r="E66" s="212" t="s">
        <v>3725</v>
      </c>
      <c r="F66" s="212" t="s">
        <v>3726</v>
      </c>
      <c r="G66" s="213">
        <v>2071061</v>
      </c>
      <c r="H66" s="214" t="s">
        <v>3727</v>
      </c>
    </row>
    <row r="67" spans="1:8" s="204" customFormat="1" ht="15" customHeight="1">
      <c r="A67" s="210">
        <f t="shared" si="1"/>
        <v>64</v>
      </c>
      <c r="B67" s="211">
        <v>50090</v>
      </c>
      <c r="C67" s="212" t="s">
        <v>3728</v>
      </c>
      <c r="D67" s="212" t="str">
        <f t="shared" si="0"/>
        <v>ARHEOLOŠKI MUZEJ OSIJEK (50090)</v>
      </c>
      <c r="E67" s="212" t="s">
        <v>3729</v>
      </c>
      <c r="F67" s="212" t="s">
        <v>279</v>
      </c>
      <c r="G67" s="213">
        <v>4857283</v>
      </c>
      <c r="H67" s="214" t="s">
        <v>3730</v>
      </c>
    </row>
    <row r="68" spans="1:8" s="204" customFormat="1" ht="15" customHeight="1">
      <c r="A68" s="210">
        <f t="shared" si="1"/>
        <v>65</v>
      </c>
      <c r="B68" s="211">
        <v>908</v>
      </c>
      <c r="C68" s="212" t="s">
        <v>3731</v>
      </c>
      <c r="D68" s="212" t="str">
        <f t="shared" ref="D68:D131" si="2">C68&amp;" ("&amp;B68&amp;")"</f>
        <v>ARHEOLOŠKI MUZEJ U SPLITU (908)</v>
      </c>
      <c r="E68" s="212" t="s">
        <v>3732</v>
      </c>
      <c r="F68" s="212" t="s">
        <v>361</v>
      </c>
      <c r="G68" s="213">
        <v>3118380</v>
      </c>
      <c r="H68" s="214" t="s">
        <v>3733</v>
      </c>
    </row>
    <row r="69" spans="1:8" s="204" customFormat="1" ht="15" customHeight="1">
      <c r="A69" s="210">
        <f t="shared" si="1"/>
        <v>66</v>
      </c>
      <c r="B69" s="211">
        <v>916</v>
      </c>
      <c r="C69" s="212" t="s">
        <v>3734</v>
      </c>
      <c r="D69" s="212" t="str">
        <f t="shared" si="2"/>
        <v>ARHEOLOŠKI MUZEJ ZADAR (916)</v>
      </c>
      <c r="E69" s="212" t="s">
        <v>3735</v>
      </c>
      <c r="F69" s="212" t="s">
        <v>3736</v>
      </c>
      <c r="G69" s="213">
        <v>3132170</v>
      </c>
      <c r="H69" s="214" t="s">
        <v>3737</v>
      </c>
    </row>
    <row r="70" spans="1:8" s="204" customFormat="1" ht="15" customHeight="1">
      <c r="A70" s="210">
        <f t="shared" ref="A70:A121" si="3">+A69+1</f>
        <v>67</v>
      </c>
      <c r="B70" s="211">
        <v>932</v>
      </c>
      <c r="C70" s="212" t="s">
        <v>3738</v>
      </c>
      <c r="D70" s="212" t="str">
        <f t="shared" si="2"/>
        <v>DVOR TRAKOŠČAN (932)</v>
      </c>
      <c r="E70" s="212" t="s">
        <v>3739</v>
      </c>
      <c r="F70" s="212" t="s">
        <v>3740</v>
      </c>
      <c r="G70" s="213">
        <v>3125483</v>
      </c>
      <c r="H70" s="214" t="s">
        <v>3741</v>
      </c>
    </row>
    <row r="71" spans="1:8" s="204" customFormat="1" ht="15" customHeight="1">
      <c r="A71" s="210">
        <f t="shared" si="3"/>
        <v>68</v>
      </c>
      <c r="B71" s="211">
        <v>22242</v>
      </c>
      <c r="C71" s="219" t="s">
        <v>3742</v>
      </c>
      <c r="D71" s="212" t="str">
        <f t="shared" si="2"/>
        <v>GALERIJA KLOVIĆEVI DVORI (22242)</v>
      </c>
      <c r="E71" s="219" t="s">
        <v>3743</v>
      </c>
      <c r="F71" s="219" t="s">
        <v>276</v>
      </c>
      <c r="G71" s="220">
        <v>1426672</v>
      </c>
      <c r="H71" s="214" t="s">
        <v>3744</v>
      </c>
    </row>
    <row r="72" spans="1:8" s="204" customFormat="1" ht="15" customHeight="1">
      <c r="A72" s="210">
        <f t="shared" si="3"/>
        <v>69</v>
      </c>
      <c r="B72" s="211">
        <v>6146</v>
      </c>
      <c r="C72" s="212" t="s">
        <v>3745</v>
      </c>
      <c r="D72" s="212" t="str">
        <f t="shared" si="2"/>
        <v>HRVATSKI MUZEJ NAIVNE UMJETNOSTI (6146)</v>
      </c>
      <c r="E72" s="212" t="s">
        <v>3746</v>
      </c>
      <c r="F72" s="212" t="s">
        <v>276</v>
      </c>
      <c r="G72" s="213">
        <v>738751</v>
      </c>
      <c r="H72" s="214" t="s">
        <v>3747</v>
      </c>
    </row>
    <row r="73" spans="1:8" s="204" customFormat="1" ht="15" customHeight="1">
      <c r="A73" s="210">
        <f t="shared" si="3"/>
        <v>70</v>
      </c>
      <c r="B73" s="211">
        <v>43907</v>
      </c>
      <c r="C73" s="212" t="s">
        <v>3748</v>
      </c>
      <c r="D73" s="212" t="str">
        <f t="shared" si="2"/>
        <v>HRVATSKI MUZEJ TURIZMA (43907)</v>
      </c>
      <c r="E73" s="212" t="s">
        <v>3749</v>
      </c>
      <c r="F73" s="212" t="s">
        <v>331</v>
      </c>
      <c r="G73" s="213">
        <v>2298651</v>
      </c>
      <c r="H73" s="214" t="s">
        <v>3750</v>
      </c>
    </row>
    <row r="74" spans="1:8" s="204" customFormat="1" ht="15" customHeight="1">
      <c r="A74" s="210">
        <f t="shared" si="3"/>
        <v>71</v>
      </c>
      <c r="B74" s="211">
        <v>965</v>
      </c>
      <c r="C74" s="212" t="s">
        <v>3751</v>
      </c>
      <c r="D74" s="212" t="str">
        <f t="shared" si="2"/>
        <v>HRVATSKI POVIJESNI MUZEJ (965)</v>
      </c>
      <c r="E74" s="212" t="s">
        <v>3752</v>
      </c>
      <c r="F74" s="212" t="s">
        <v>276</v>
      </c>
      <c r="G74" s="213">
        <v>3212084</v>
      </c>
      <c r="H74" s="214" t="s">
        <v>3753</v>
      </c>
    </row>
    <row r="75" spans="1:8" s="204" customFormat="1" ht="15" customHeight="1">
      <c r="A75" s="210">
        <f t="shared" si="3"/>
        <v>72</v>
      </c>
      <c r="B75" s="211">
        <v>40682</v>
      </c>
      <c r="C75" s="212" t="s">
        <v>3754</v>
      </c>
      <c r="D75" s="212" t="str">
        <f t="shared" si="2"/>
        <v>HRVATSKI ŠPORTSKI MUZEJ (40682)</v>
      </c>
      <c r="E75" s="221" t="s">
        <v>3755</v>
      </c>
      <c r="F75" s="212" t="s">
        <v>276</v>
      </c>
      <c r="G75" s="220">
        <v>1783815</v>
      </c>
      <c r="H75" s="214" t="s">
        <v>3756</v>
      </c>
    </row>
    <row r="76" spans="1:8" s="204" customFormat="1" ht="15" customHeight="1">
      <c r="A76" s="210">
        <f t="shared" si="3"/>
        <v>73</v>
      </c>
      <c r="B76" s="211">
        <v>23593</v>
      </c>
      <c r="C76" s="212" t="s">
        <v>3757</v>
      </c>
      <c r="D76" s="212" t="str">
        <f t="shared" si="2"/>
        <v>J. U. SPOMEN PODRUČJE JASENOVAC (23593)</v>
      </c>
      <c r="E76" s="212" t="s">
        <v>3758</v>
      </c>
      <c r="F76" s="212" t="s">
        <v>3759</v>
      </c>
      <c r="G76" s="213">
        <v>3201678</v>
      </c>
      <c r="H76" s="214" t="s">
        <v>3760</v>
      </c>
    </row>
    <row r="77" spans="1:8" s="204" customFormat="1" ht="15" customHeight="1">
      <c r="A77" s="210">
        <f t="shared" si="3"/>
        <v>74</v>
      </c>
      <c r="B77" s="211">
        <v>22347</v>
      </c>
      <c r="C77" s="212" t="s">
        <v>3761</v>
      </c>
      <c r="D77" s="212" t="str">
        <f t="shared" si="2"/>
        <v>J. U. ZBIRKA UMJETNINA ANTE I WILTRUDE TOPIĆ MIMARA  (22347)</v>
      </c>
      <c r="E77" s="212" t="s">
        <v>3762</v>
      </c>
      <c r="F77" s="212" t="s">
        <v>276</v>
      </c>
      <c r="G77" s="213">
        <v>1425684</v>
      </c>
      <c r="H77" s="214" t="s">
        <v>3763</v>
      </c>
    </row>
    <row r="78" spans="1:8" s="204" customFormat="1" ht="15" customHeight="1">
      <c r="A78" s="210">
        <f t="shared" si="3"/>
        <v>75</v>
      </c>
      <c r="B78" s="211">
        <v>973</v>
      </c>
      <c r="C78" s="212" t="s">
        <v>3764</v>
      </c>
      <c r="D78" s="212" t="str">
        <f t="shared" si="2"/>
        <v>MODERNA GALERIJA (973)</v>
      </c>
      <c r="E78" s="212" t="s">
        <v>3765</v>
      </c>
      <c r="F78" s="212" t="s">
        <v>276</v>
      </c>
      <c r="G78" s="213">
        <v>3205240</v>
      </c>
      <c r="H78" s="214" t="s">
        <v>3766</v>
      </c>
    </row>
    <row r="79" spans="1:8" s="204" customFormat="1" ht="15" customHeight="1">
      <c r="A79" s="210">
        <f t="shared" si="3"/>
        <v>76</v>
      </c>
      <c r="B79" s="211">
        <v>42112</v>
      </c>
      <c r="C79" s="212" t="s">
        <v>3767</v>
      </c>
      <c r="D79" s="212" t="str">
        <f t="shared" si="2"/>
        <v>MUZEJ ANTIČKOG STAKLA ZADAR (42112)</v>
      </c>
      <c r="E79" s="212" t="s">
        <v>3768</v>
      </c>
      <c r="F79" s="212" t="s">
        <v>317</v>
      </c>
      <c r="G79" s="213">
        <v>2106698</v>
      </c>
      <c r="H79" s="214" t="s">
        <v>3769</v>
      </c>
    </row>
    <row r="80" spans="1:8" s="204" customFormat="1" ht="15" customHeight="1">
      <c r="A80" s="210">
        <f t="shared" si="3"/>
        <v>77</v>
      </c>
      <c r="B80" s="211">
        <v>990</v>
      </c>
      <c r="C80" s="212" t="s">
        <v>3770</v>
      </c>
      <c r="D80" s="212" t="str">
        <f t="shared" si="2"/>
        <v>MUZEJ HRVATSKIH ARHEOLOŠKIH SPOMENIKA SPLIT (990)</v>
      </c>
      <c r="E80" s="212" t="s">
        <v>3771</v>
      </c>
      <c r="F80" s="212" t="s">
        <v>361</v>
      </c>
      <c r="G80" s="213">
        <v>3119904</v>
      </c>
      <c r="H80" s="214" t="s">
        <v>3772</v>
      </c>
    </row>
    <row r="81" spans="1:10" s="204" customFormat="1" ht="15" customHeight="1">
      <c r="A81" s="210">
        <f t="shared" si="3"/>
        <v>78</v>
      </c>
      <c r="B81" s="211">
        <v>1011</v>
      </c>
      <c r="C81" s="212" t="s">
        <v>3773</v>
      </c>
      <c r="D81" s="212" t="str">
        <f t="shared" si="2"/>
        <v>MUZEJ HRVATSKOG ZAGORJA (1011)</v>
      </c>
      <c r="E81" s="212" t="s">
        <v>3774</v>
      </c>
      <c r="F81" s="212" t="s">
        <v>3775</v>
      </c>
      <c r="G81" s="213">
        <v>207349</v>
      </c>
      <c r="H81" s="214" t="s">
        <v>3776</v>
      </c>
    </row>
    <row r="82" spans="1:10" s="204" customFormat="1" ht="15" customHeight="1">
      <c r="A82" s="210">
        <f t="shared" si="3"/>
        <v>79</v>
      </c>
      <c r="B82" s="211">
        <v>1003</v>
      </c>
      <c r="C82" s="212" t="s">
        <v>3777</v>
      </c>
      <c r="D82" s="212" t="str">
        <f t="shared" si="2"/>
        <v>MUZEJ SLAVONIJE OSIJEK (1003)</v>
      </c>
      <c r="E82" s="212" t="s">
        <v>3778</v>
      </c>
      <c r="F82" s="212" t="s">
        <v>279</v>
      </c>
      <c r="G82" s="213">
        <v>3014207</v>
      </c>
      <c r="H82" s="214" t="s">
        <v>3779</v>
      </c>
    </row>
    <row r="83" spans="1:10" s="204" customFormat="1" ht="15" customHeight="1">
      <c r="A83" s="210">
        <f t="shared" si="3"/>
        <v>80</v>
      </c>
      <c r="B83" s="211">
        <v>47908</v>
      </c>
      <c r="C83" s="212" t="s">
        <v>3780</v>
      </c>
      <c r="D83" s="212" t="str">
        <f t="shared" si="2"/>
        <v>MUZEJ VUČEDOLSKE KULTURE (47908)</v>
      </c>
      <c r="E83" s="212" t="s">
        <v>3781</v>
      </c>
      <c r="F83" s="212" t="s">
        <v>502</v>
      </c>
      <c r="G83" s="213">
        <v>4016408</v>
      </c>
      <c r="H83" s="214" t="s">
        <v>3782</v>
      </c>
    </row>
    <row r="84" spans="1:10" s="204" customFormat="1" ht="15" customHeight="1">
      <c r="A84" s="210">
        <f t="shared" si="3"/>
        <v>81</v>
      </c>
      <c r="B84" s="211">
        <v>949</v>
      </c>
      <c r="C84" s="212" t="s">
        <v>3783</v>
      </c>
      <c r="D84" s="212" t="str">
        <f t="shared" si="2"/>
        <v>MUZEJI IVANA MEŠTROVIĆA  (949)</v>
      </c>
      <c r="E84" s="212" t="s">
        <v>3784</v>
      </c>
      <c r="F84" s="212" t="s">
        <v>361</v>
      </c>
      <c r="G84" s="213">
        <v>3751783</v>
      </c>
      <c r="H84" s="214" t="s">
        <v>3785</v>
      </c>
    </row>
    <row r="85" spans="1:10" s="204" customFormat="1" ht="15" customHeight="1">
      <c r="A85" s="210">
        <f t="shared" si="3"/>
        <v>82</v>
      </c>
      <c r="B85" s="211">
        <v>1020</v>
      </c>
      <c r="C85" s="212" t="s">
        <v>3786</v>
      </c>
      <c r="D85" s="212" t="str">
        <f t="shared" si="2"/>
        <v>MUZEJSKI DOKUMENTACIJSKI CENTAR (1020)</v>
      </c>
      <c r="E85" s="212" t="s">
        <v>3787</v>
      </c>
      <c r="F85" s="212" t="s">
        <v>276</v>
      </c>
      <c r="G85" s="213">
        <v>3205258</v>
      </c>
      <c r="H85" s="214" t="s">
        <v>3788</v>
      </c>
    </row>
    <row r="86" spans="1:10" s="204" customFormat="1" ht="15" customHeight="1">
      <c r="A86" s="210">
        <f t="shared" si="3"/>
        <v>83</v>
      </c>
      <c r="B86" s="211">
        <v>1038</v>
      </c>
      <c r="C86" s="212" t="s">
        <v>3789</v>
      </c>
      <c r="D86" s="212" t="str">
        <f t="shared" si="2"/>
        <v>TIFLOLOŠKI MUZEJ (1038)</v>
      </c>
      <c r="E86" s="212" t="s">
        <v>3790</v>
      </c>
      <c r="F86" s="212" t="s">
        <v>276</v>
      </c>
      <c r="G86" s="213">
        <v>3270564</v>
      </c>
      <c r="H86" s="214" t="s">
        <v>3791</v>
      </c>
    </row>
    <row r="87" spans="1:10" ht="15" customHeight="1">
      <c r="A87" s="210">
        <f t="shared" si="3"/>
        <v>84</v>
      </c>
      <c r="B87" s="211">
        <v>49075</v>
      </c>
      <c r="C87" s="212" t="s">
        <v>3792</v>
      </c>
      <c r="D87" s="212" t="str">
        <f t="shared" si="2"/>
        <v>AGENCIJA ZA ELEKTRONIČKE MEDIJE (49075)</v>
      </c>
      <c r="E87" s="212" t="s">
        <v>3793</v>
      </c>
      <c r="F87" s="212" t="s">
        <v>276</v>
      </c>
      <c r="G87" s="215" t="s">
        <v>3794</v>
      </c>
      <c r="H87" s="214" t="s">
        <v>3795</v>
      </c>
      <c r="J87" s="204"/>
    </row>
    <row r="88" spans="1:10" ht="15" customHeight="1">
      <c r="A88" s="210">
        <f t="shared" si="3"/>
        <v>85</v>
      </c>
      <c r="B88" s="211">
        <v>1046</v>
      </c>
      <c r="C88" s="212" t="s">
        <v>3796</v>
      </c>
      <c r="D88" s="212" t="str">
        <f t="shared" si="2"/>
        <v>ANSAMBL LADO (1046)</v>
      </c>
      <c r="E88" s="212" t="s">
        <v>3797</v>
      </c>
      <c r="F88" s="212" t="s">
        <v>276</v>
      </c>
      <c r="G88" s="213">
        <v>3213862</v>
      </c>
      <c r="H88" s="214" t="s">
        <v>3798</v>
      </c>
      <c r="J88" s="204"/>
    </row>
    <row r="89" spans="1:10" ht="15" customHeight="1">
      <c r="A89" s="210">
        <f t="shared" si="3"/>
        <v>86</v>
      </c>
      <c r="B89" s="211">
        <v>23585</v>
      </c>
      <c r="C89" s="212" t="s">
        <v>3799</v>
      </c>
      <c r="D89" s="212" t="str">
        <f t="shared" si="2"/>
        <v>HRVATSKA KNJIŽNICA ZA SLIJEPE (23585)</v>
      </c>
      <c r="E89" s="212" t="s">
        <v>3800</v>
      </c>
      <c r="F89" s="212" t="s">
        <v>276</v>
      </c>
      <c r="G89" s="213">
        <v>1494449</v>
      </c>
      <c r="H89" s="214" t="s">
        <v>3801</v>
      </c>
      <c r="J89" s="204"/>
    </row>
    <row r="90" spans="1:10" ht="15" customHeight="1">
      <c r="A90" s="210">
        <f t="shared" si="3"/>
        <v>87</v>
      </c>
      <c r="B90" s="211">
        <v>44926</v>
      </c>
      <c r="C90" s="212" t="s">
        <v>3802</v>
      </c>
      <c r="D90" s="212" t="str">
        <f t="shared" si="2"/>
        <v>HRVATSKI AUDIOVIZUALNI CENTAR (44926)</v>
      </c>
      <c r="E90" s="212" t="s">
        <v>3803</v>
      </c>
      <c r="F90" s="212" t="s">
        <v>276</v>
      </c>
      <c r="G90" s="213">
        <v>2275341</v>
      </c>
      <c r="H90" s="214" t="s">
        <v>3804</v>
      </c>
      <c r="J90" s="204"/>
    </row>
    <row r="91" spans="1:10" ht="15" customHeight="1">
      <c r="A91" s="210">
        <f t="shared" si="3"/>
        <v>88</v>
      </c>
      <c r="B91" s="211">
        <v>22339</v>
      </c>
      <c r="C91" s="212" t="s">
        <v>3805</v>
      </c>
      <c r="D91" s="212" t="str">
        <f t="shared" si="2"/>
        <v>HRVATSKI RESTAURATORSKI ZAVOD (22339)</v>
      </c>
      <c r="E91" s="212" t="s">
        <v>3806</v>
      </c>
      <c r="F91" s="212" t="s">
        <v>276</v>
      </c>
      <c r="G91" s="213">
        <v>1250795</v>
      </c>
      <c r="H91" s="214" t="s">
        <v>3807</v>
      </c>
      <c r="J91" s="204"/>
    </row>
    <row r="92" spans="1:10" ht="15" customHeight="1">
      <c r="A92" s="210">
        <f t="shared" si="3"/>
        <v>89</v>
      </c>
      <c r="B92" s="211">
        <v>25878</v>
      </c>
      <c r="C92" s="212" t="s">
        <v>3808</v>
      </c>
      <c r="D92" s="212" t="str">
        <f t="shared" si="2"/>
        <v>HRVATSKO NARODNO KAZALIŠTE (25878)</v>
      </c>
      <c r="E92" s="212" t="s">
        <v>3809</v>
      </c>
      <c r="F92" s="212" t="s">
        <v>276</v>
      </c>
      <c r="G92" s="213">
        <v>3205479</v>
      </c>
      <c r="H92" s="214" t="s">
        <v>3810</v>
      </c>
      <c r="J92" s="204"/>
    </row>
    <row r="93" spans="1:10" ht="15" customHeight="1">
      <c r="A93" s="210">
        <f t="shared" si="3"/>
        <v>90</v>
      </c>
      <c r="B93" s="211">
        <v>45189</v>
      </c>
      <c r="C93" s="212" t="s">
        <v>3811</v>
      </c>
      <c r="D93" s="212" t="str">
        <f t="shared" si="2"/>
        <v>MEĐUNARODNI CENTAR ZA PODVODNU ARHEOLOGIJU (45189)</v>
      </c>
      <c r="E93" s="212" t="s">
        <v>3812</v>
      </c>
      <c r="F93" s="212" t="s">
        <v>317</v>
      </c>
      <c r="G93" s="213">
        <v>2479184</v>
      </c>
      <c r="H93" s="214" t="s">
        <v>3813</v>
      </c>
      <c r="J93" s="204"/>
    </row>
    <row r="94" spans="1:10" s="204" customFormat="1" ht="15" customHeight="1">
      <c r="A94" s="199">
        <f t="shared" si="3"/>
        <v>91</v>
      </c>
      <c r="B94" s="206">
        <v>1079</v>
      </c>
      <c r="C94" s="207" t="s">
        <v>3814</v>
      </c>
      <c r="D94" s="212" t="str">
        <f t="shared" si="2"/>
        <v>MINISTARSTVO POLJOPRIVREDE (1079)</v>
      </c>
      <c r="E94" s="207" t="s">
        <v>609</v>
      </c>
      <c r="F94" s="207" t="s">
        <v>276</v>
      </c>
      <c r="G94" s="208">
        <v>3271005</v>
      </c>
      <c r="H94" s="209" t="s">
        <v>3815</v>
      </c>
    </row>
    <row r="95" spans="1:10" ht="15" customHeight="1">
      <c r="A95" s="210">
        <f t="shared" si="3"/>
        <v>92</v>
      </c>
      <c r="B95" s="211">
        <v>45927</v>
      </c>
      <c r="C95" s="212" t="s">
        <v>3816</v>
      </c>
      <c r="D95" s="212" t="str">
        <f t="shared" si="2"/>
        <v>AGENCIJA ZA PLAĆANJA U POLJOPRIVREDI, RIBARSTVU I RURALNOM RAZVOJU (45927)</v>
      </c>
      <c r="E95" s="212" t="s">
        <v>3817</v>
      </c>
      <c r="F95" s="222" t="s">
        <v>276</v>
      </c>
      <c r="G95" s="213">
        <v>2593262</v>
      </c>
      <c r="H95" s="214" t="s">
        <v>3818</v>
      </c>
      <c r="J95" s="204"/>
    </row>
    <row r="96" spans="1:10" ht="15" customHeight="1">
      <c r="A96" s="210">
        <f t="shared" si="3"/>
        <v>93</v>
      </c>
      <c r="B96" s="211">
        <v>44565</v>
      </c>
      <c r="C96" s="212" t="s">
        <v>3819</v>
      </c>
      <c r="D96" s="212" t="str">
        <f t="shared" si="2"/>
        <v>HRVATSKA AGENCIJA ZA POLJOPRIVREDU I HRANU (44565)</v>
      </c>
      <c r="E96" s="222" t="s">
        <v>3820</v>
      </c>
      <c r="F96" s="222" t="s">
        <v>279</v>
      </c>
      <c r="G96" s="213">
        <v>2528614</v>
      </c>
      <c r="H96" s="214" t="s">
        <v>3821</v>
      </c>
      <c r="J96" s="204"/>
    </row>
    <row r="97" spans="1:10" ht="15" customHeight="1">
      <c r="A97" s="210">
        <f t="shared" si="3"/>
        <v>94</v>
      </c>
      <c r="B97" s="211">
        <v>48103</v>
      </c>
      <c r="C97" s="212" t="s">
        <v>3822</v>
      </c>
      <c r="D97" s="212" t="str">
        <f t="shared" si="2"/>
        <v>DRŽAVNA ERGELA ĐAKOVO I LIPIK (48103)</v>
      </c>
      <c r="E97" s="222" t="s">
        <v>3823</v>
      </c>
      <c r="F97" s="222" t="s">
        <v>300</v>
      </c>
      <c r="G97" s="213">
        <v>2725029</v>
      </c>
      <c r="H97" s="214" t="s">
        <v>3824</v>
      </c>
      <c r="J97" s="204"/>
    </row>
    <row r="98" spans="1:10" s="204" customFormat="1" ht="15" customHeight="1">
      <c r="A98" s="199">
        <f t="shared" si="3"/>
        <v>95</v>
      </c>
      <c r="B98" s="206">
        <v>47123</v>
      </c>
      <c r="C98" s="207" t="s">
        <v>3825</v>
      </c>
      <c r="D98" s="212" t="str">
        <f t="shared" si="2"/>
        <v>MINISTARSTVO REGIONALNOG RAZVOJA I FONDOVA EUROPSKE UNIJE  (47123)</v>
      </c>
      <c r="E98" s="207" t="s">
        <v>3826</v>
      </c>
      <c r="F98" s="207" t="s">
        <v>276</v>
      </c>
      <c r="G98" s="208">
        <v>2830442</v>
      </c>
      <c r="H98" s="209" t="s">
        <v>3827</v>
      </c>
    </row>
    <row r="99" spans="1:10" ht="15" customHeight="1">
      <c r="A99" s="210">
        <f t="shared" si="3"/>
        <v>96</v>
      </c>
      <c r="B99" s="211">
        <v>46366</v>
      </c>
      <c r="C99" s="212" t="s">
        <v>3828</v>
      </c>
      <c r="D99" s="212" t="str">
        <f t="shared" si="2"/>
        <v>FOND ZA OBNOVU I RAZVOJ GRADA VUKOVARA (46366)</v>
      </c>
      <c r="E99" s="212" t="s">
        <v>3829</v>
      </c>
      <c r="F99" s="212" t="s">
        <v>502</v>
      </c>
      <c r="G99" s="213">
        <v>1606492</v>
      </c>
      <c r="H99" s="214" t="s">
        <v>3830</v>
      </c>
      <c r="J99" s="204"/>
    </row>
    <row r="100" spans="1:10" ht="15" customHeight="1">
      <c r="A100" s="210">
        <f t="shared" si="3"/>
        <v>97</v>
      </c>
      <c r="B100" s="211">
        <v>43255</v>
      </c>
      <c r="C100" s="212" t="s">
        <v>3831</v>
      </c>
      <c r="D100" s="212" t="str">
        <f t="shared" si="2"/>
        <v>SREDIŠNJA AGENCIJA ZA FINANCIRANJE I UGOVARANJE PROGRAMA I PROJEKATA EU (43255)</v>
      </c>
      <c r="E100" s="212" t="s">
        <v>3832</v>
      </c>
      <c r="F100" s="212" t="s">
        <v>276</v>
      </c>
      <c r="G100" s="213">
        <v>2288028</v>
      </c>
      <c r="H100" s="214" t="s">
        <v>3833</v>
      </c>
      <c r="J100" s="204"/>
    </row>
    <row r="101" spans="1:10" s="204" customFormat="1" ht="15" customHeight="1">
      <c r="A101" s="199">
        <f t="shared" si="3"/>
        <v>98</v>
      </c>
      <c r="B101" s="206">
        <v>1087</v>
      </c>
      <c r="C101" s="207" t="s">
        <v>3834</v>
      </c>
      <c r="D101" s="212" t="str">
        <f t="shared" si="2"/>
        <v>MINISTARSTVO MORA, PROMETA I INFRASTRUKTURE (1087)</v>
      </c>
      <c r="E101" s="207" t="s">
        <v>3835</v>
      </c>
      <c r="F101" s="207" t="s">
        <v>276</v>
      </c>
      <c r="G101" s="208">
        <v>3277097</v>
      </c>
      <c r="H101" s="209" t="s">
        <v>3836</v>
      </c>
    </row>
    <row r="102" spans="1:10" ht="15" customHeight="1">
      <c r="A102" s="210">
        <f t="shared" si="3"/>
        <v>99</v>
      </c>
      <c r="B102" s="211">
        <v>41546</v>
      </c>
      <c r="C102" s="212" t="s">
        <v>3837</v>
      </c>
      <c r="D102" s="212" t="str">
        <f t="shared" si="2"/>
        <v>AGENCIJA ZA OBALNI LINIJSKI POMORSKI PROMET (41546)</v>
      </c>
      <c r="E102" s="212" t="s">
        <v>3838</v>
      </c>
      <c r="F102" s="212" t="s">
        <v>361</v>
      </c>
      <c r="G102" s="213">
        <v>2097958</v>
      </c>
      <c r="H102" s="214" t="s">
        <v>3839</v>
      </c>
      <c r="J102" s="204"/>
    </row>
    <row r="103" spans="1:10" ht="15" customHeight="1">
      <c r="A103" s="210">
        <f t="shared" si="3"/>
        <v>100</v>
      </c>
      <c r="B103" s="211">
        <v>48031</v>
      </c>
      <c r="C103" s="212" t="s">
        <v>3840</v>
      </c>
      <c r="D103" s="212" t="str">
        <f t="shared" si="2"/>
        <v>AGENCIJA ZA ISTRAŽIVANJE NESREĆA U ZRAČNOM, POMORSKOM I ŽELJEZNIČKOM PROMETU (48031)</v>
      </c>
      <c r="E103" s="212" t="s">
        <v>3841</v>
      </c>
      <c r="F103" s="212" t="s">
        <v>276</v>
      </c>
      <c r="G103" s="215" t="s">
        <v>3842</v>
      </c>
      <c r="H103" s="214" t="s">
        <v>3843</v>
      </c>
      <c r="J103" s="204"/>
    </row>
    <row r="104" spans="1:10" ht="15" customHeight="1">
      <c r="A104" s="210">
        <f t="shared" si="3"/>
        <v>101</v>
      </c>
      <c r="B104" s="211">
        <v>45228</v>
      </c>
      <c r="C104" s="212" t="s">
        <v>3844</v>
      </c>
      <c r="D104" s="212" t="str">
        <f t="shared" si="2"/>
        <v>AGENCIJA ZA SIGURNOST ŽELJEZNIČKOG PROMETA (45228)</v>
      </c>
      <c r="E104" s="212" t="s">
        <v>3845</v>
      </c>
      <c r="F104" s="212" t="s">
        <v>276</v>
      </c>
      <c r="G104" s="213">
        <v>2559633</v>
      </c>
      <c r="H104" s="214" t="s">
        <v>3846</v>
      </c>
      <c r="J104" s="204"/>
    </row>
    <row r="105" spans="1:10" ht="15" customHeight="1">
      <c r="A105" s="210">
        <f t="shared" si="3"/>
        <v>102</v>
      </c>
      <c r="B105" s="211">
        <v>49083</v>
      </c>
      <c r="C105" s="212" t="s">
        <v>3847</v>
      </c>
      <c r="D105" s="212" t="str">
        <f t="shared" si="2"/>
        <v>HRVATSKA AGENCIJA ZA CIVILNO ZRAKOPLOVSTVO (49083)</v>
      </c>
      <c r="E105" s="212" t="s">
        <v>3832</v>
      </c>
      <c r="F105" s="212" t="s">
        <v>276</v>
      </c>
      <c r="G105" s="215" t="s">
        <v>3848</v>
      </c>
      <c r="H105" s="214" t="s">
        <v>3849</v>
      </c>
      <c r="J105" s="204"/>
    </row>
    <row r="106" spans="1:10" ht="15" customHeight="1">
      <c r="A106" s="210">
        <f t="shared" si="3"/>
        <v>103</v>
      </c>
      <c r="B106" s="211">
        <v>6066</v>
      </c>
      <c r="C106" s="212" t="s">
        <v>3850</v>
      </c>
      <c r="D106" s="212" t="str">
        <f t="shared" si="2"/>
        <v>HRVATSKI HIDROGRAFSKI INSTITUT (6066)</v>
      </c>
      <c r="E106" s="212" t="s">
        <v>3851</v>
      </c>
      <c r="F106" s="212" t="s">
        <v>361</v>
      </c>
      <c r="G106" s="213">
        <v>3878724</v>
      </c>
      <c r="H106" s="214" t="s">
        <v>3852</v>
      </c>
      <c r="J106" s="204"/>
    </row>
    <row r="107" spans="1:10" ht="15" customHeight="1">
      <c r="A107" s="210">
        <f t="shared" si="3"/>
        <v>104</v>
      </c>
      <c r="B107" s="211">
        <v>45902</v>
      </c>
      <c r="C107" s="212" t="s">
        <v>3853</v>
      </c>
      <c r="D107" s="212" t="str">
        <f t="shared" si="2"/>
        <v>HRVATSKA REGULATORNA AGENCIJA ZA MREŽNE DJELATNOSTI (45902)</v>
      </c>
      <c r="E107" s="212" t="s">
        <v>3854</v>
      </c>
      <c r="F107" s="212" t="s">
        <v>3855</v>
      </c>
      <c r="G107" s="215">
        <v>1865862</v>
      </c>
      <c r="H107" s="214" t="s">
        <v>3856</v>
      </c>
      <c r="J107" s="204"/>
    </row>
    <row r="108" spans="1:10" ht="15" customHeight="1">
      <c r="A108" s="210">
        <f t="shared" si="3"/>
        <v>105</v>
      </c>
      <c r="B108" s="211">
        <v>51255</v>
      </c>
      <c r="C108" s="212" t="s">
        <v>3857</v>
      </c>
      <c r="D108" s="212" t="str">
        <f t="shared" si="2"/>
        <v>JAVNA USTANOVA LUČKA UPRAVA SISAK (51255)</v>
      </c>
      <c r="E108" s="223" t="s">
        <v>3858</v>
      </c>
      <c r="F108" s="223" t="s">
        <v>1727</v>
      </c>
      <c r="G108" s="224" t="s">
        <v>3859</v>
      </c>
      <c r="H108" s="214" t="s">
        <v>3860</v>
      </c>
      <c r="J108" s="204"/>
    </row>
    <row r="109" spans="1:10" ht="15" customHeight="1">
      <c r="A109" s="210">
        <f t="shared" si="3"/>
        <v>106</v>
      </c>
      <c r="B109" s="211">
        <v>51263</v>
      </c>
      <c r="C109" s="212" t="s">
        <v>3861</v>
      </c>
      <c r="D109" s="212" t="str">
        <f t="shared" si="2"/>
        <v>JAVNA USTANOVA LUČKA UPRAVA SLAVONSKI BROD (51263)</v>
      </c>
      <c r="E109" s="223" t="s">
        <v>3862</v>
      </c>
      <c r="F109" s="223" t="s">
        <v>1772</v>
      </c>
      <c r="G109" s="224" t="s">
        <v>3863</v>
      </c>
      <c r="H109" s="214" t="s">
        <v>3864</v>
      </c>
      <c r="J109" s="204"/>
    </row>
    <row r="110" spans="1:10" ht="15" customHeight="1">
      <c r="A110" s="210">
        <f t="shared" si="3"/>
        <v>107</v>
      </c>
      <c r="B110" s="211">
        <v>51343</v>
      </c>
      <c r="C110" s="212" t="s">
        <v>3865</v>
      </c>
      <c r="D110" s="212" t="str">
        <f t="shared" si="2"/>
        <v>LUČKA UPRAVA DUBROVNIK (51343)</v>
      </c>
      <c r="E110" s="212" t="s">
        <v>3866</v>
      </c>
      <c r="F110" s="212" t="s">
        <v>314</v>
      </c>
      <c r="G110" s="215" t="s">
        <v>3867</v>
      </c>
      <c r="H110" s="214" t="s">
        <v>3868</v>
      </c>
      <c r="J110" s="204"/>
    </row>
    <row r="111" spans="1:10" ht="15" customHeight="1">
      <c r="A111" s="210">
        <f t="shared" si="3"/>
        <v>108</v>
      </c>
      <c r="B111" s="211">
        <v>51319</v>
      </c>
      <c r="C111" s="212" t="s">
        <v>3869</v>
      </c>
      <c r="D111" s="212" t="str">
        <f t="shared" si="2"/>
        <v>LUČKA UPRAVA OSIJEK (51319)</v>
      </c>
      <c r="E111" s="212" t="s">
        <v>3870</v>
      </c>
      <c r="F111" s="212" t="s">
        <v>279</v>
      </c>
      <c r="G111" s="215" t="s">
        <v>3871</v>
      </c>
      <c r="H111" s="214" t="s">
        <v>3872</v>
      </c>
      <c r="J111" s="204"/>
    </row>
    <row r="112" spans="1:10" ht="15" customHeight="1">
      <c r="A112" s="210">
        <f t="shared" si="3"/>
        <v>109</v>
      </c>
      <c r="B112" s="211">
        <v>51298</v>
      </c>
      <c r="C112" s="212" t="s">
        <v>3873</v>
      </c>
      <c r="D112" s="212" t="str">
        <f t="shared" si="2"/>
        <v>LUČKA UPRAVA PLOČE (51298)</v>
      </c>
      <c r="E112" s="212" t="s">
        <v>3874</v>
      </c>
      <c r="F112" s="212" t="s">
        <v>3875</v>
      </c>
      <c r="G112" s="215" t="s">
        <v>3876</v>
      </c>
      <c r="H112" s="214" t="s">
        <v>3877</v>
      </c>
      <c r="J112" s="204"/>
    </row>
    <row r="113" spans="1:10" ht="15" customHeight="1">
      <c r="A113" s="210">
        <f t="shared" si="3"/>
        <v>110</v>
      </c>
      <c r="B113" s="211">
        <v>51302</v>
      </c>
      <c r="C113" s="212" t="s">
        <v>3878</v>
      </c>
      <c r="D113" s="212" t="str">
        <f t="shared" si="2"/>
        <v>LUČKA UPRAVA RIJEKA (51302)</v>
      </c>
      <c r="E113" s="212" t="s">
        <v>3879</v>
      </c>
      <c r="F113" s="212" t="s">
        <v>321</v>
      </c>
      <c r="G113" s="215" t="s">
        <v>3880</v>
      </c>
      <c r="H113" s="214" t="s">
        <v>3881</v>
      </c>
      <c r="J113" s="204"/>
    </row>
    <row r="114" spans="1:10" ht="15" customHeight="1">
      <c r="A114" s="210">
        <f t="shared" si="3"/>
        <v>111</v>
      </c>
      <c r="B114" s="211">
        <v>51327</v>
      </c>
      <c r="C114" s="223" t="s">
        <v>3882</v>
      </c>
      <c r="D114" s="212" t="str">
        <f t="shared" si="2"/>
        <v>LUČKA UPRAVA SPLIT (51327)</v>
      </c>
      <c r="E114" s="223" t="s">
        <v>3883</v>
      </c>
      <c r="F114" s="223" t="s">
        <v>361</v>
      </c>
      <c r="G114" s="225" t="s">
        <v>3884</v>
      </c>
      <c r="H114" s="214" t="s">
        <v>3885</v>
      </c>
      <c r="J114" s="204"/>
    </row>
    <row r="115" spans="1:10" ht="15" customHeight="1">
      <c r="A115" s="210">
        <f t="shared" si="3"/>
        <v>112</v>
      </c>
      <c r="B115" s="211">
        <v>51335</v>
      </c>
      <c r="C115" s="223" t="s">
        <v>3886</v>
      </c>
      <c r="D115" s="212" t="str">
        <f t="shared" si="2"/>
        <v>LUČKA UPRAVA ŠIBENIK (51335)</v>
      </c>
      <c r="E115" s="223" t="s">
        <v>3887</v>
      </c>
      <c r="F115" s="223" t="s">
        <v>525</v>
      </c>
      <c r="G115" s="225" t="s">
        <v>3888</v>
      </c>
      <c r="H115" s="214" t="s">
        <v>3889</v>
      </c>
      <c r="J115" s="204"/>
    </row>
    <row r="116" spans="1:10" ht="15" customHeight="1">
      <c r="A116" s="210">
        <f t="shared" si="3"/>
        <v>113</v>
      </c>
      <c r="B116" s="211">
        <v>51280</v>
      </c>
      <c r="C116" s="212" t="s">
        <v>3890</v>
      </c>
      <c r="D116" s="212" t="str">
        <f t="shared" si="2"/>
        <v>LUČKA UPRAVA VUKOVAR (51280)</v>
      </c>
      <c r="E116" s="212" t="s">
        <v>3891</v>
      </c>
      <c r="F116" s="212" t="s">
        <v>502</v>
      </c>
      <c r="G116" s="215" t="s">
        <v>3892</v>
      </c>
      <c r="H116" s="214" t="s">
        <v>3893</v>
      </c>
      <c r="J116" s="204"/>
    </row>
    <row r="117" spans="1:10" ht="15" customHeight="1">
      <c r="A117" s="210">
        <f t="shared" si="3"/>
        <v>114</v>
      </c>
      <c r="B117" s="211">
        <v>51271</v>
      </c>
      <c r="C117" s="212" t="s">
        <v>3894</v>
      </c>
      <c r="D117" s="212" t="str">
        <f t="shared" si="2"/>
        <v>LUČKA UPRAVA ZADAR (51271)</v>
      </c>
      <c r="E117" s="212" t="s">
        <v>3895</v>
      </c>
      <c r="F117" s="212" t="s">
        <v>317</v>
      </c>
      <c r="G117" s="215" t="s">
        <v>3896</v>
      </c>
      <c r="H117" s="214" t="s">
        <v>3897</v>
      </c>
      <c r="J117" s="204"/>
    </row>
    <row r="118" spans="1:10" s="204" customFormat="1" ht="15" customHeight="1">
      <c r="A118" s="199">
        <f t="shared" si="3"/>
        <v>115</v>
      </c>
      <c r="B118" s="206">
        <v>47061</v>
      </c>
      <c r="C118" s="207" t="s">
        <v>3898</v>
      </c>
      <c r="D118" s="212" t="str">
        <f t="shared" si="2"/>
        <v>MINISTARSTVO PROSTORNOGA UREĐENJA, GRADITELJSTVA I DRŽAVNE IMOVINE (47061)</v>
      </c>
      <c r="E118" s="207" t="s">
        <v>3899</v>
      </c>
      <c r="F118" s="207" t="s">
        <v>276</v>
      </c>
      <c r="G118" s="208">
        <v>2831317</v>
      </c>
      <c r="H118" s="209" t="s">
        <v>3900</v>
      </c>
    </row>
    <row r="119" spans="1:10" ht="15" customHeight="1">
      <c r="A119" s="210">
        <f t="shared" si="3"/>
        <v>116</v>
      </c>
      <c r="B119" s="211">
        <v>22058</v>
      </c>
      <c r="C119" s="212" t="s">
        <v>3901</v>
      </c>
      <c r="D119" s="212" t="str">
        <f t="shared" si="2"/>
        <v>AGENCIJA ZA PRAVNI PROMET I POSREDOVANJE NEKRETNINAMA (22058)</v>
      </c>
      <c r="E119" s="212" t="s">
        <v>3902</v>
      </c>
      <c r="F119" s="212" t="s">
        <v>276</v>
      </c>
      <c r="G119" s="213">
        <v>1294164</v>
      </c>
      <c r="H119" s="214" t="s">
        <v>3903</v>
      </c>
      <c r="J119" s="204"/>
    </row>
    <row r="120" spans="1:10" ht="15" customHeight="1">
      <c r="A120" s="210">
        <f t="shared" si="3"/>
        <v>117</v>
      </c>
      <c r="B120" s="211">
        <v>6120</v>
      </c>
      <c r="C120" s="212" t="s">
        <v>3904</v>
      </c>
      <c r="D120" s="212" t="str">
        <f t="shared" si="2"/>
        <v>DRŽAVNA GEODETSKA UPRAVA (6120)</v>
      </c>
      <c r="E120" s="212" t="s">
        <v>3905</v>
      </c>
      <c r="F120" s="212" t="s">
        <v>276</v>
      </c>
      <c r="G120" s="213">
        <v>936693</v>
      </c>
      <c r="H120" s="214" t="s">
        <v>3906</v>
      </c>
      <c r="J120" s="204"/>
    </row>
    <row r="121" spans="1:10" ht="24">
      <c r="A121" s="210">
        <f t="shared" si="3"/>
        <v>118</v>
      </c>
      <c r="B121" s="211">
        <v>51724</v>
      </c>
      <c r="C121" s="212" t="s">
        <v>3907</v>
      </c>
      <c r="D121" s="212" t="str">
        <f t="shared" si="2"/>
        <v>FOND ZA OBNOVU GRADA ZAGREBA, KRAPINSKO-ZAGORSKE ŽUPANIJE I ZAGREBAČKE ŽUPANIJE (51724)</v>
      </c>
      <c r="E121" s="212" t="s">
        <v>3908</v>
      </c>
      <c r="F121" s="212" t="s">
        <v>276</v>
      </c>
      <c r="G121" s="213">
        <v>5332494</v>
      </c>
      <c r="H121" s="214" t="s">
        <v>3909</v>
      </c>
      <c r="J121" s="204"/>
    </row>
    <row r="122" spans="1:10" s="204" customFormat="1" ht="15" customHeight="1">
      <c r="A122" s="199">
        <f>+A121+1</f>
        <v>119</v>
      </c>
      <c r="B122" s="206">
        <v>47053</v>
      </c>
      <c r="C122" s="207" t="s">
        <v>3910</v>
      </c>
      <c r="D122" s="212" t="str">
        <f t="shared" si="2"/>
        <v>MINISTARSTVO GOSPODARSTVA I ODRŽIVOG RAZVOJA (47053)</v>
      </c>
      <c r="E122" s="207" t="s">
        <v>3911</v>
      </c>
      <c r="F122" s="207" t="s">
        <v>276</v>
      </c>
      <c r="G122" s="208">
        <v>2831309</v>
      </c>
      <c r="H122" s="209" t="s">
        <v>3912</v>
      </c>
    </row>
    <row r="123" spans="1:10" ht="15" customHeight="1">
      <c r="A123" s="210">
        <f t="shared" ref="A123:A186" si="4">+A122+1</f>
        <v>120</v>
      </c>
      <c r="B123" s="211">
        <v>22162</v>
      </c>
      <c r="C123" s="212" t="s">
        <v>3913</v>
      </c>
      <c r="D123" s="212" t="str">
        <f t="shared" si="2"/>
        <v>JAVNA USTANOVA NACIONALNI PARK BRIJUNI - PUBLIC INSTITUTION BRIJUNI NATIONAL PARK (22162)</v>
      </c>
      <c r="E123" s="212" t="s">
        <v>3914</v>
      </c>
      <c r="F123" s="212" t="s">
        <v>3915</v>
      </c>
      <c r="G123" s="213">
        <v>3286436</v>
      </c>
      <c r="H123" s="214" t="s">
        <v>3916</v>
      </c>
      <c r="J123" s="204"/>
    </row>
    <row r="124" spans="1:10" ht="15" customHeight="1">
      <c r="A124" s="210">
        <f t="shared" si="4"/>
        <v>121</v>
      </c>
      <c r="B124" s="211">
        <v>22138</v>
      </c>
      <c r="C124" s="212" t="s">
        <v>3917</v>
      </c>
      <c r="D124" s="212" t="str">
        <f t="shared" si="2"/>
        <v>J. U. NACIONALNI PARK KORNATI  (22138)</v>
      </c>
      <c r="E124" s="212" t="s">
        <v>3918</v>
      </c>
      <c r="F124" s="212" t="s">
        <v>3919</v>
      </c>
      <c r="G124" s="213">
        <v>3957772</v>
      </c>
      <c r="H124" s="214" t="s">
        <v>3920</v>
      </c>
      <c r="J124" s="204"/>
    </row>
    <row r="125" spans="1:10" ht="15" customHeight="1">
      <c r="A125" s="210">
        <f t="shared" si="4"/>
        <v>122</v>
      </c>
      <c r="B125" s="211">
        <v>22234</v>
      </c>
      <c r="C125" s="212" t="s">
        <v>3921</v>
      </c>
      <c r="D125" s="212" t="str">
        <f t="shared" si="2"/>
        <v>J. U. NACIONALNI PARK KRKA (22234)</v>
      </c>
      <c r="E125" s="212" t="s">
        <v>3922</v>
      </c>
      <c r="F125" s="212" t="s">
        <v>525</v>
      </c>
      <c r="G125" s="213">
        <v>3418103</v>
      </c>
      <c r="H125" s="214" t="s">
        <v>3923</v>
      </c>
      <c r="J125" s="204"/>
    </row>
    <row r="126" spans="1:10" ht="15" customHeight="1">
      <c r="A126" s="210">
        <f t="shared" si="4"/>
        <v>123</v>
      </c>
      <c r="B126" s="211">
        <v>22179</v>
      </c>
      <c r="C126" s="212" t="s">
        <v>3924</v>
      </c>
      <c r="D126" s="212" t="str">
        <f t="shared" si="2"/>
        <v>J. U. NACIONALNI PARK MLJET (22179)</v>
      </c>
      <c r="E126" s="212" t="s">
        <v>3925</v>
      </c>
      <c r="F126" s="212" t="s">
        <v>3926</v>
      </c>
      <c r="G126" s="213">
        <v>3324974</v>
      </c>
      <c r="H126" s="214" t="s">
        <v>3927</v>
      </c>
      <c r="J126" s="204"/>
    </row>
    <row r="127" spans="1:10" ht="15" customHeight="1">
      <c r="A127" s="210">
        <f t="shared" si="4"/>
        <v>124</v>
      </c>
      <c r="B127" s="211">
        <v>22200</v>
      </c>
      <c r="C127" s="212" t="s">
        <v>3928</v>
      </c>
      <c r="D127" s="212" t="str">
        <f t="shared" si="2"/>
        <v>J. U. NACIONALNI PARK PAKLENICA (22200)</v>
      </c>
      <c r="E127" s="212" t="s">
        <v>3929</v>
      </c>
      <c r="F127" s="212" t="s">
        <v>3930</v>
      </c>
      <c r="G127" s="213">
        <v>3142027</v>
      </c>
      <c r="H127" s="214" t="s">
        <v>3931</v>
      </c>
      <c r="J127" s="204"/>
    </row>
    <row r="128" spans="1:10" ht="15" customHeight="1">
      <c r="A128" s="210">
        <f t="shared" si="4"/>
        <v>125</v>
      </c>
      <c r="B128" s="211">
        <v>22218</v>
      </c>
      <c r="C128" s="212" t="s">
        <v>3932</v>
      </c>
      <c r="D128" s="212" t="str">
        <f t="shared" si="2"/>
        <v>J. U. NACIONALNI PARK PLITVIČKA JEZERA (22218)</v>
      </c>
      <c r="E128" s="212" t="s">
        <v>3933</v>
      </c>
      <c r="F128" s="212" t="s">
        <v>3934</v>
      </c>
      <c r="G128" s="213">
        <v>3310850</v>
      </c>
      <c r="H128" s="214" t="s">
        <v>3935</v>
      </c>
      <c r="J128" s="204"/>
    </row>
    <row r="129" spans="1:10" ht="15" customHeight="1">
      <c r="A129" s="210">
        <f t="shared" si="4"/>
        <v>126</v>
      </c>
      <c r="B129" s="211">
        <v>22187</v>
      </c>
      <c r="C129" s="212" t="s">
        <v>3936</v>
      </c>
      <c r="D129" s="212" t="str">
        <f t="shared" si="2"/>
        <v>J. U. NACIONALNI PARK RISNJAK (22187)</v>
      </c>
      <c r="E129" s="212" t="s">
        <v>3937</v>
      </c>
      <c r="F129" s="212" t="s">
        <v>3938</v>
      </c>
      <c r="G129" s="213">
        <v>3033619</v>
      </c>
      <c r="H129" s="214" t="s">
        <v>3939</v>
      </c>
      <c r="J129" s="204"/>
    </row>
    <row r="130" spans="1:10" ht="15" customHeight="1">
      <c r="A130" s="210">
        <f t="shared" si="4"/>
        <v>127</v>
      </c>
      <c r="B130" s="211">
        <v>26506</v>
      </c>
      <c r="C130" s="212" t="s">
        <v>3940</v>
      </c>
      <c r="D130" s="212" t="str">
        <f t="shared" si="2"/>
        <v>J. U. NACIONALNI PARK SJEVERNI VELEBIT (26506)</v>
      </c>
      <c r="E130" s="212" t="s">
        <v>3941</v>
      </c>
      <c r="F130" s="212" t="s">
        <v>3942</v>
      </c>
      <c r="G130" s="213">
        <v>1486993</v>
      </c>
      <c r="H130" s="214" t="s">
        <v>3943</v>
      </c>
      <c r="J130" s="204"/>
    </row>
    <row r="131" spans="1:10" ht="15" customHeight="1">
      <c r="A131" s="210">
        <f t="shared" si="4"/>
        <v>128</v>
      </c>
      <c r="B131" s="211">
        <v>23243</v>
      </c>
      <c r="C131" s="212" t="s">
        <v>3944</v>
      </c>
      <c r="D131" s="212" t="str">
        <f t="shared" si="2"/>
        <v>J. U. PARK PRIRODE BIOKOVO (23243)</v>
      </c>
      <c r="E131" s="212" t="s">
        <v>3945</v>
      </c>
      <c r="F131" s="212" t="s">
        <v>3946</v>
      </c>
      <c r="G131" s="213">
        <v>1408232</v>
      </c>
      <c r="H131" s="214" t="s">
        <v>3947</v>
      </c>
      <c r="J131" s="204"/>
    </row>
    <row r="132" spans="1:10" ht="15" customHeight="1">
      <c r="A132" s="210">
        <f t="shared" si="4"/>
        <v>129</v>
      </c>
      <c r="B132" s="211">
        <v>22154</v>
      </c>
      <c r="C132" s="212" t="s">
        <v>3948</v>
      </c>
      <c r="D132" s="212" t="str">
        <f t="shared" ref="D132:D195" si="5">C132&amp;" ("&amp;B132&amp;")"</f>
        <v>J. U. PARK PRIRODE KOPAČKI RIT (22154)</v>
      </c>
      <c r="E132" s="212" t="s">
        <v>3949</v>
      </c>
      <c r="F132" s="212" t="s">
        <v>3950</v>
      </c>
      <c r="G132" s="213">
        <v>1334239</v>
      </c>
      <c r="H132" s="214" t="s">
        <v>3951</v>
      </c>
      <c r="J132" s="204"/>
    </row>
    <row r="133" spans="1:10" ht="15" customHeight="1">
      <c r="A133" s="210">
        <f t="shared" si="4"/>
        <v>130</v>
      </c>
      <c r="B133" s="211">
        <v>42598</v>
      </c>
      <c r="C133" s="212" t="s">
        <v>3952</v>
      </c>
      <c r="D133" s="212" t="str">
        <f t="shared" si="5"/>
        <v>J. U. PARK PRIRODE LASTOVSKO OTOČJE (42598)</v>
      </c>
      <c r="E133" s="221" t="s">
        <v>3953</v>
      </c>
      <c r="F133" s="221" t="s">
        <v>3954</v>
      </c>
      <c r="G133" s="220">
        <v>2175843</v>
      </c>
      <c r="H133" s="214" t="s">
        <v>3955</v>
      </c>
      <c r="J133" s="204"/>
    </row>
    <row r="134" spans="1:10" ht="15" customHeight="1">
      <c r="A134" s="210">
        <f t="shared" si="4"/>
        <v>131</v>
      </c>
      <c r="B134" s="211">
        <v>22226</v>
      </c>
      <c r="C134" s="212" t="s">
        <v>3956</v>
      </c>
      <c r="D134" s="212" t="str">
        <f t="shared" si="5"/>
        <v>J. U. PARK PRIRODE LONJSKO POLJE (22226)</v>
      </c>
      <c r="E134" s="212" t="s">
        <v>3957</v>
      </c>
      <c r="F134" s="212" t="s">
        <v>3958</v>
      </c>
      <c r="G134" s="213">
        <v>1300997</v>
      </c>
      <c r="H134" s="214" t="s">
        <v>3959</v>
      </c>
      <c r="J134" s="204"/>
    </row>
    <row r="135" spans="1:10" ht="15" customHeight="1">
      <c r="A135" s="210">
        <f t="shared" si="4"/>
        <v>132</v>
      </c>
      <c r="B135" s="211">
        <v>23497</v>
      </c>
      <c r="C135" s="212" t="s">
        <v>3960</v>
      </c>
      <c r="D135" s="212" t="str">
        <f t="shared" si="5"/>
        <v>J. U. PARK PRIRODE MEDVEDNICA (23497)</v>
      </c>
      <c r="E135" s="212" t="s">
        <v>3961</v>
      </c>
      <c r="F135" s="212" t="s">
        <v>276</v>
      </c>
      <c r="G135" s="213">
        <v>1463080</v>
      </c>
      <c r="H135" s="214" t="s">
        <v>3962</v>
      </c>
      <c r="J135" s="204"/>
    </row>
    <row r="136" spans="1:10" ht="15" customHeight="1">
      <c r="A136" s="210">
        <f t="shared" si="4"/>
        <v>133</v>
      </c>
      <c r="B136" s="211">
        <v>26514</v>
      </c>
      <c r="C136" s="212" t="s">
        <v>3963</v>
      </c>
      <c r="D136" s="212" t="str">
        <f t="shared" si="5"/>
        <v>J. U. PARK PRIRODE PAPUK  (26514)</v>
      </c>
      <c r="E136" s="212" t="s">
        <v>3964</v>
      </c>
      <c r="F136" s="212" t="s">
        <v>3965</v>
      </c>
      <c r="G136" s="213">
        <v>1503847</v>
      </c>
      <c r="H136" s="214" t="s">
        <v>3966</v>
      </c>
      <c r="J136" s="204"/>
    </row>
    <row r="137" spans="1:10" ht="15" customHeight="1">
      <c r="A137" s="210">
        <f t="shared" si="4"/>
        <v>134</v>
      </c>
      <c r="B137" s="211">
        <v>22195</v>
      </c>
      <c r="C137" s="212" t="s">
        <v>3967</v>
      </c>
      <c r="D137" s="212" t="str">
        <f t="shared" si="5"/>
        <v>J. U. PARK PRIRODE TELAŠĆICA (22195)</v>
      </c>
      <c r="E137" s="212" t="s">
        <v>3968</v>
      </c>
      <c r="F137" s="212" t="s">
        <v>3969</v>
      </c>
      <c r="G137" s="213">
        <v>3439780</v>
      </c>
      <c r="H137" s="214" t="s">
        <v>3970</v>
      </c>
      <c r="J137" s="204"/>
    </row>
    <row r="138" spans="1:10" ht="15" customHeight="1">
      <c r="A138" s="210">
        <f t="shared" si="4"/>
        <v>135</v>
      </c>
      <c r="B138" s="211">
        <v>25925</v>
      </c>
      <c r="C138" s="212" t="s">
        <v>3971</v>
      </c>
      <c r="D138" s="212" t="str">
        <f t="shared" si="5"/>
        <v>J. U. PARK PRIRODE UČKA (25925)</v>
      </c>
      <c r="E138" s="212" t="s">
        <v>3972</v>
      </c>
      <c r="F138" s="212" t="s">
        <v>3973</v>
      </c>
      <c r="G138" s="213">
        <v>1508342</v>
      </c>
      <c r="H138" s="214" t="s">
        <v>3974</v>
      </c>
      <c r="J138" s="204"/>
    </row>
    <row r="139" spans="1:10" ht="15" customHeight="1">
      <c r="A139" s="210">
        <f t="shared" si="4"/>
        <v>136</v>
      </c>
      <c r="B139" s="211">
        <v>25933</v>
      </c>
      <c r="C139" s="212" t="s">
        <v>3975</v>
      </c>
      <c r="D139" s="212" t="str">
        <f t="shared" si="5"/>
        <v>JAVNA USTANOVA PARK PRIRODE VELEBIT (25933)</v>
      </c>
      <c r="E139" s="212" t="s">
        <v>3976</v>
      </c>
      <c r="F139" s="212" t="s">
        <v>510</v>
      </c>
      <c r="G139" s="213">
        <v>1439863</v>
      </c>
      <c r="H139" s="214" t="s">
        <v>3977</v>
      </c>
      <c r="J139" s="204"/>
    </row>
    <row r="140" spans="1:10" ht="15" customHeight="1">
      <c r="A140" s="210">
        <f t="shared" si="4"/>
        <v>137</v>
      </c>
      <c r="B140" s="211">
        <v>26522</v>
      </c>
      <c r="C140" s="212" t="s">
        <v>3978</v>
      </c>
      <c r="D140" s="212" t="str">
        <f t="shared" si="5"/>
        <v>JAVNA USTANOVA PARK PRIRODE VRANSKO JEZERO (26522)</v>
      </c>
      <c r="E140" s="212" t="s">
        <v>3979</v>
      </c>
      <c r="F140" s="212" t="s">
        <v>3980</v>
      </c>
      <c r="G140" s="213">
        <v>1504495</v>
      </c>
      <c r="H140" s="214" t="s">
        <v>3981</v>
      </c>
      <c r="J140" s="204"/>
    </row>
    <row r="141" spans="1:10" ht="15" customHeight="1">
      <c r="A141" s="210">
        <f t="shared" si="4"/>
        <v>138</v>
      </c>
      <c r="B141" s="211">
        <v>26539</v>
      </c>
      <c r="C141" s="212" t="s">
        <v>3982</v>
      </c>
      <c r="D141" s="212" t="str">
        <f t="shared" si="5"/>
        <v>J. U. PARK PRIRODE ŽUMBERAK-SAMOBORSKO GORJE (26539)</v>
      </c>
      <c r="E141" s="212" t="s">
        <v>3983</v>
      </c>
      <c r="F141" s="212" t="s">
        <v>3984</v>
      </c>
      <c r="G141" s="213">
        <v>1481517</v>
      </c>
      <c r="H141" s="214" t="s">
        <v>3985</v>
      </c>
      <c r="J141" s="204"/>
    </row>
    <row r="142" spans="1:10" ht="15" customHeight="1">
      <c r="A142" s="210">
        <f t="shared" si="4"/>
        <v>139</v>
      </c>
      <c r="B142" s="211">
        <v>21609</v>
      </c>
      <c r="C142" s="212" t="s">
        <v>3986</v>
      </c>
      <c r="D142" s="212" t="str">
        <f t="shared" si="5"/>
        <v>DRŽAVNI HIDROMETEOROLOŠKI ZAVOD (21609)</v>
      </c>
      <c r="E142" s="212" t="s">
        <v>3987</v>
      </c>
      <c r="F142" s="212" t="s">
        <v>276</v>
      </c>
      <c r="G142" s="213">
        <v>3206017</v>
      </c>
      <c r="H142" s="214" t="s">
        <v>3988</v>
      </c>
      <c r="J142" s="204"/>
    </row>
    <row r="143" spans="1:10" s="204" customFormat="1" ht="15" customHeight="1">
      <c r="A143" s="210">
        <f t="shared" si="4"/>
        <v>140</v>
      </c>
      <c r="B143" s="211">
        <v>49649</v>
      </c>
      <c r="C143" s="212" t="s">
        <v>3989</v>
      </c>
      <c r="D143" s="212" t="str">
        <f t="shared" si="5"/>
        <v>AGENCIJA ZA UGLJIKOVODIKE (49649)</v>
      </c>
      <c r="E143" s="222" t="s">
        <v>3990</v>
      </c>
      <c r="F143" s="212" t="s">
        <v>276</v>
      </c>
      <c r="G143" s="215" t="s">
        <v>3991</v>
      </c>
      <c r="H143" s="214" t="s">
        <v>3992</v>
      </c>
    </row>
    <row r="144" spans="1:10" s="204" customFormat="1" ht="15" customHeight="1">
      <c r="A144" s="210">
        <f t="shared" si="4"/>
        <v>141</v>
      </c>
      <c r="B144" s="211">
        <v>49091</v>
      </c>
      <c r="C144" s="212" t="s">
        <v>3993</v>
      </c>
      <c r="D144" s="212" t="str">
        <f t="shared" si="5"/>
        <v>HRVATSKA ENERGETSKA REGULATORNA AGENCIJA (49091)</v>
      </c>
      <c r="E144" s="212" t="s">
        <v>3994</v>
      </c>
      <c r="F144" s="212" t="s">
        <v>276</v>
      </c>
      <c r="G144" s="213" t="s">
        <v>3995</v>
      </c>
      <c r="H144" s="214" t="s">
        <v>3996</v>
      </c>
    </row>
    <row r="145" spans="1:10" s="204" customFormat="1" ht="15" customHeight="1">
      <c r="A145" s="210">
        <f t="shared" si="4"/>
        <v>142</v>
      </c>
      <c r="B145" s="211">
        <v>47131</v>
      </c>
      <c r="C145" s="212" t="s">
        <v>3997</v>
      </c>
      <c r="D145" s="212" t="str">
        <f t="shared" si="5"/>
        <v>MINISTARSTVO GOSPODARSTVA I ODRŽIVOG RAZVOJA – RAVNATELJSTVO ZA ROBNE ZALIHE (47131)</v>
      </c>
      <c r="E145" s="212" t="s">
        <v>609</v>
      </c>
      <c r="F145" s="212" t="s">
        <v>276</v>
      </c>
      <c r="G145" s="213">
        <v>2831309</v>
      </c>
      <c r="H145" s="214" t="s">
        <v>3912</v>
      </c>
    </row>
    <row r="146" spans="1:10" ht="15" customHeight="1">
      <c r="A146" s="210">
        <f t="shared" si="4"/>
        <v>143</v>
      </c>
      <c r="B146" s="211">
        <v>6082</v>
      </c>
      <c r="C146" s="212" t="s">
        <v>3998</v>
      </c>
      <c r="D146" s="212" t="str">
        <f t="shared" si="5"/>
        <v>DRŽAVNI ZAVOD ZA MJERITELJSTVO (6082)</v>
      </c>
      <c r="E146" s="212" t="s">
        <v>3999</v>
      </c>
      <c r="F146" s="212" t="s">
        <v>276</v>
      </c>
      <c r="G146" s="213">
        <v>3799166</v>
      </c>
      <c r="H146" s="214" t="s">
        <v>4000</v>
      </c>
      <c r="J146" s="204"/>
    </row>
    <row r="147" spans="1:10" ht="15" customHeight="1">
      <c r="A147" s="210">
        <f t="shared" si="4"/>
        <v>144</v>
      </c>
      <c r="B147" s="211">
        <v>38495</v>
      </c>
      <c r="C147" s="212" t="s">
        <v>4001</v>
      </c>
      <c r="D147" s="212" t="str">
        <f t="shared" si="5"/>
        <v>HRVATSKI ZAVOD ZA NORME (38495)</v>
      </c>
      <c r="E147" s="212" t="s">
        <v>609</v>
      </c>
      <c r="F147" s="212" t="s">
        <v>276</v>
      </c>
      <c r="G147" s="213">
        <v>1957406</v>
      </c>
      <c r="H147" s="214" t="s">
        <v>4002</v>
      </c>
      <c r="J147" s="204"/>
    </row>
    <row r="148" spans="1:10" ht="15" customHeight="1">
      <c r="A148" s="210">
        <f t="shared" si="4"/>
        <v>145</v>
      </c>
      <c r="B148" s="211">
        <v>38500</v>
      </c>
      <c r="C148" s="212" t="s">
        <v>4003</v>
      </c>
      <c r="D148" s="212" t="str">
        <f t="shared" si="5"/>
        <v>HRVATSKA AKREDITACIJSKA AGENCIJA (38500)</v>
      </c>
      <c r="E148" s="212" t="s">
        <v>609</v>
      </c>
      <c r="F148" s="212" t="s">
        <v>276</v>
      </c>
      <c r="G148" s="213">
        <v>1956868</v>
      </c>
      <c r="H148" s="214" t="s">
        <v>4004</v>
      </c>
      <c r="J148" s="204"/>
    </row>
    <row r="149" spans="1:10" s="204" customFormat="1" ht="15" customHeight="1">
      <c r="A149" s="210">
        <f t="shared" si="4"/>
        <v>146</v>
      </c>
      <c r="B149" s="211">
        <v>46237</v>
      </c>
      <c r="C149" s="212" t="s">
        <v>4005</v>
      </c>
      <c r="D149" s="212" t="str">
        <f t="shared" si="5"/>
        <v>HRVATSKA AGENCIJA ZA MALO GOSPODARSTVO, INOVACIJE I INVESTICIJE (46237)</v>
      </c>
      <c r="E149" s="212" t="s">
        <v>4006</v>
      </c>
      <c r="F149" s="212" t="s">
        <v>276</v>
      </c>
      <c r="G149" s="213">
        <v>767875</v>
      </c>
      <c r="H149" s="214" t="s">
        <v>4007</v>
      </c>
    </row>
    <row r="150" spans="1:10" s="204" customFormat="1" ht="15" customHeight="1">
      <c r="A150" s="199">
        <f t="shared" si="4"/>
        <v>147</v>
      </c>
      <c r="B150" s="206">
        <v>1222</v>
      </c>
      <c r="C150" s="207" t="s">
        <v>1751</v>
      </c>
      <c r="D150" s="212" t="str">
        <f t="shared" si="5"/>
        <v>MINISTARSTVO ZNANOSTI I OBRAZOVANJA  (1222)</v>
      </c>
      <c r="E150" s="207" t="s">
        <v>275</v>
      </c>
      <c r="F150" s="207" t="s">
        <v>276</v>
      </c>
      <c r="G150" s="208">
        <v>3271030</v>
      </c>
      <c r="H150" s="209" t="s">
        <v>1752</v>
      </c>
    </row>
    <row r="151" spans="1:10" ht="15" customHeight="1">
      <c r="A151" s="210">
        <f t="shared" si="4"/>
        <v>148</v>
      </c>
      <c r="B151" s="211">
        <v>2063</v>
      </c>
      <c r="C151" s="212" t="s">
        <v>489</v>
      </c>
      <c r="D151" s="212" t="str">
        <f t="shared" si="5"/>
        <v>FAKULTET ORGANIZACIJE I INFORMATIKE U VARAŽDINU (2063)</v>
      </c>
      <c r="E151" s="212" t="s">
        <v>490</v>
      </c>
      <c r="F151" s="212" t="s">
        <v>446</v>
      </c>
      <c r="G151" s="213">
        <v>3006107</v>
      </c>
      <c r="H151" s="214" t="s">
        <v>491</v>
      </c>
      <c r="J151" s="204"/>
    </row>
    <row r="152" spans="1:10" ht="15" customHeight="1">
      <c r="A152" s="210">
        <f t="shared" si="4"/>
        <v>149</v>
      </c>
      <c r="B152" s="211">
        <v>43749</v>
      </c>
      <c r="C152" s="212" t="s">
        <v>492</v>
      </c>
      <c r="D152" s="212" t="str">
        <f t="shared" si="5"/>
        <v>MEĐIMURSKO VELEUČILIŠTE U ČAKOVCU (43749)</v>
      </c>
      <c r="E152" s="212" t="s">
        <v>494</v>
      </c>
      <c r="F152" s="212" t="s">
        <v>495</v>
      </c>
      <c r="G152" s="213">
        <v>2382512</v>
      </c>
      <c r="H152" s="214" t="s">
        <v>496</v>
      </c>
      <c r="J152" s="204"/>
    </row>
    <row r="153" spans="1:10" ht="15" customHeight="1">
      <c r="A153" s="210">
        <f t="shared" si="4"/>
        <v>150</v>
      </c>
      <c r="B153" s="211">
        <v>2452</v>
      </c>
      <c r="C153" s="212" t="s">
        <v>1753</v>
      </c>
      <c r="D153" s="212" t="str">
        <f t="shared" si="5"/>
        <v>SVEUČILIŠTE J. J. STROSSMAYERA U OSIJEKU (2452)</v>
      </c>
      <c r="E153" s="212" t="s">
        <v>278</v>
      </c>
      <c r="F153" s="212" t="s">
        <v>279</v>
      </c>
      <c r="G153" s="213">
        <v>3049779</v>
      </c>
      <c r="H153" s="214" t="s">
        <v>280</v>
      </c>
      <c r="J153" s="204"/>
    </row>
    <row r="154" spans="1:10" ht="24" customHeight="1">
      <c r="A154" s="210">
        <f t="shared" si="4"/>
        <v>151</v>
      </c>
      <c r="B154" s="211">
        <v>50215</v>
      </c>
      <c r="C154" s="212" t="s">
        <v>1754</v>
      </c>
      <c r="D154" s="212" t="str">
        <f t="shared" si="5"/>
        <v>SVEUČILIŠTE J. J. STROSSMAYERA U OSIJEKU - AKADEMIJA ZA UMJETNOST I KULTURU U OSIJEKU (50215)</v>
      </c>
      <c r="E154" s="212" t="s">
        <v>304</v>
      </c>
      <c r="F154" s="212" t="s">
        <v>279</v>
      </c>
      <c r="G154" s="213">
        <v>4907361</v>
      </c>
      <c r="H154" s="214" t="s">
        <v>1713</v>
      </c>
      <c r="J154" s="204"/>
    </row>
    <row r="155" spans="1:10" ht="15" customHeight="1">
      <c r="A155" s="210">
        <f t="shared" si="4"/>
        <v>152</v>
      </c>
      <c r="B155" s="211">
        <v>2284</v>
      </c>
      <c r="C155" s="212" t="s">
        <v>1755</v>
      </c>
      <c r="D155" s="212" t="str">
        <f t="shared" si="5"/>
        <v>SVEUČILIŠTE J. J. STROSSMAYERA U OSIJEKU - EKONOMSKI FAKULTET (2284)</v>
      </c>
      <c r="E155" s="212" t="s">
        <v>281</v>
      </c>
      <c r="F155" s="212" t="s">
        <v>279</v>
      </c>
      <c r="G155" s="213">
        <v>3021645</v>
      </c>
      <c r="H155" s="214" t="s">
        <v>282</v>
      </c>
      <c r="J155" s="204"/>
    </row>
    <row r="156" spans="1:10" ht="24">
      <c r="A156" s="210">
        <f t="shared" si="4"/>
        <v>153</v>
      </c>
      <c r="B156" s="211">
        <v>2268</v>
      </c>
      <c r="C156" s="212" t="s">
        <v>1756</v>
      </c>
      <c r="D156" s="212" t="str">
        <f t="shared" si="5"/>
        <v>SVEUČILIŠTE J. J. STROSSMAYERA U OSIJEKU - FAKULTET AGROBIOTEHNIČKIH ZNANOSTI OSIJEK (2268)</v>
      </c>
      <c r="E156" s="212" t="s">
        <v>292</v>
      </c>
      <c r="F156" s="212" t="s">
        <v>279</v>
      </c>
      <c r="G156" s="213">
        <v>3058212</v>
      </c>
      <c r="H156" s="214" t="s">
        <v>293</v>
      </c>
      <c r="J156" s="204"/>
    </row>
    <row r="157" spans="1:10" ht="24">
      <c r="A157" s="210">
        <f t="shared" si="4"/>
        <v>154</v>
      </c>
      <c r="B157" s="211">
        <v>2313</v>
      </c>
      <c r="C157" s="212" t="s">
        <v>1757</v>
      </c>
      <c r="D157" s="212" t="str">
        <f t="shared" si="5"/>
        <v>SVEUČILIŠTE J. J. STROSSMAYERA U OSIJEKU - FAKULTET ELEKTROTEHNIKE, RAČUNARSTVA I INFORMACIJSKIH TEHNOLOGIJA OSIJEK (2313)</v>
      </c>
      <c r="E157" s="212" t="s">
        <v>4008</v>
      </c>
      <c r="F157" s="212" t="s">
        <v>279</v>
      </c>
      <c r="G157" s="213">
        <v>3392589</v>
      </c>
      <c r="H157" s="214" t="s">
        <v>284</v>
      </c>
      <c r="J157" s="204"/>
    </row>
    <row r="158" spans="1:10" s="204" customFormat="1" ht="24">
      <c r="A158" s="210">
        <f t="shared" si="4"/>
        <v>155</v>
      </c>
      <c r="B158" s="211">
        <v>49796</v>
      </c>
      <c r="C158" s="212" t="s">
        <v>1758</v>
      </c>
      <c r="D158" s="212" t="str">
        <f t="shared" si="5"/>
        <v>SVEUČILIŠTE J. J. STROSSMAYERA U OSIJEKU - FAKULTET ZA DENTALNU MEDICINU I ZDRAVSTVO (49796)</v>
      </c>
      <c r="E158" s="222" t="s">
        <v>302</v>
      </c>
      <c r="F158" s="212" t="s">
        <v>279</v>
      </c>
      <c r="G158" s="213">
        <v>4748875</v>
      </c>
      <c r="H158" s="214" t="s">
        <v>303</v>
      </c>
    </row>
    <row r="159" spans="1:10" ht="24">
      <c r="A159" s="210">
        <f t="shared" si="4"/>
        <v>156</v>
      </c>
      <c r="B159" s="211">
        <v>22486</v>
      </c>
      <c r="C159" s="212" t="s">
        <v>1759</v>
      </c>
      <c r="D159" s="212" t="str">
        <f t="shared" si="5"/>
        <v>SVEUČILIŠTE J. J. STROSSMAYERA U OSIJEKU - FAKULTET ZA ODGOJNE I OBRAZOVNE ZNANOSTI (22486)</v>
      </c>
      <c r="E159" s="212" t="s">
        <v>297</v>
      </c>
      <c r="F159" s="212" t="s">
        <v>279</v>
      </c>
      <c r="G159" s="213">
        <v>1404881</v>
      </c>
      <c r="H159" s="214" t="s">
        <v>298</v>
      </c>
      <c r="J159" s="204"/>
    </row>
    <row r="160" spans="1:10" ht="15" customHeight="1">
      <c r="A160" s="210">
        <f t="shared" si="4"/>
        <v>157</v>
      </c>
      <c r="B160" s="211">
        <v>2321</v>
      </c>
      <c r="C160" s="212" t="s">
        <v>1760</v>
      </c>
      <c r="D160" s="212" t="str">
        <f t="shared" si="5"/>
        <v>SVEUČILIŠTE J. J. STROSSMAYERA U OSIJEKU - FILOZOFSKI FAKULTET (2321)</v>
      </c>
      <c r="E160" s="212" t="s">
        <v>285</v>
      </c>
      <c r="F160" s="212" t="s">
        <v>279</v>
      </c>
      <c r="G160" s="213">
        <v>3014185</v>
      </c>
      <c r="H160" s="214" t="s">
        <v>286</v>
      </c>
      <c r="J160" s="204"/>
    </row>
    <row r="161" spans="1:10" ht="15" customHeight="1">
      <c r="A161" s="210">
        <f t="shared" si="4"/>
        <v>158</v>
      </c>
      <c r="B161" s="211">
        <v>2508</v>
      </c>
      <c r="C161" s="226" t="s">
        <v>1761</v>
      </c>
      <c r="D161" s="212" t="str">
        <f t="shared" si="5"/>
        <v>SVEUČILIŠTE J. J. STROSSMAYERA U OSIJEKU - GRADSKA I SVEUČILIŠNA KNJIŽNICA (2508)</v>
      </c>
      <c r="E161" s="226" t="s">
        <v>287</v>
      </c>
      <c r="F161" s="226" t="s">
        <v>279</v>
      </c>
      <c r="G161" s="227">
        <v>3014347</v>
      </c>
      <c r="H161" s="214" t="s">
        <v>288</v>
      </c>
      <c r="J161" s="204"/>
    </row>
    <row r="162" spans="1:10" ht="24">
      <c r="A162" s="210">
        <f t="shared" si="4"/>
        <v>159</v>
      </c>
      <c r="B162" s="211">
        <v>2250</v>
      </c>
      <c r="C162" s="212" t="s">
        <v>1762</v>
      </c>
      <c r="D162" s="212" t="str">
        <f t="shared" si="5"/>
        <v>SVEUČILIŠTE J. J. STROSSMAYERA U OSIJEKU - GRAĐEVINSKI I ARHITEKTONSKI FAKULTET OSIJEK (2250)</v>
      </c>
      <c r="E162" s="212" t="s">
        <v>1712</v>
      </c>
      <c r="F162" s="212" t="s">
        <v>279</v>
      </c>
      <c r="G162" s="213">
        <v>3397335</v>
      </c>
      <c r="H162" s="214" t="s">
        <v>289</v>
      </c>
      <c r="J162" s="204"/>
    </row>
    <row r="163" spans="1:10" s="204" customFormat="1" ht="15" customHeight="1">
      <c r="A163" s="210">
        <f t="shared" si="4"/>
        <v>160</v>
      </c>
      <c r="B163" s="211">
        <v>38479</v>
      </c>
      <c r="C163" s="212" t="s">
        <v>4009</v>
      </c>
      <c r="D163" s="212" t="str">
        <f t="shared" si="5"/>
        <v>KATOLIČKI BOGOSLOVNI FAKULTET U ĐAKOVU (38479)</v>
      </c>
      <c r="E163" s="222" t="s">
        <v>299</v>
      </c>
      <c r="F163" s="212" t="s">
        <v>300</v>
      </c>
      <c r="G163" s="213">
        <v>1986490</v>
      </c>
      <c r="H163" s="214" t="s">
        <v>301</v>
      </c>
    </row>
    <row r="164" spans="1:10" ht="15" customHeight="1">
      <c r="A164" s="210">
        <f t="shared" si="4"/>
        <v>161</v>
      </c>
      <c r="B164" s="211">
        <v>51450</v>
      </c>
      <c r="C164" s="212" t="s">
        <v>1764</v>
      </c>
      <c r="D164" s="212" t="str">
        <f t="shared" si="5"/>
        <v>SVEUČILIŠTE J. J. STROSSMAYERA U OSIJEKU - KINEZIOLOŠKI FAKULTET OSIJEK (51450)</v>
      </c>
      <c r="E164" s="212" t="s">
        <v>1765</v>
      </c>
      <c r="F164" s="212" t="s">
        <v>279</v>
      </c>
      <c r="G164" s="213">
        <v>5302099</v>
      </c>
      <c r="H164" s="214" t="s">
        <v>1766</v>
      </c>
      <c r="J164" s="204"/>
    </row>
    <row r="165" spans="1:10" ht="15" customHeight="1">
      <c r="A165" s="210">
        <f t="shared" si="4"/>
        <v>162</v>
      </c>
      <c r="B165" s="211">
        <v>22849</v>
      </c>
      <c r="C165" s="212" t="s">
        <v>1767</v>
      </c>
      <c r="D165" s="212" t="str">
        <f t="shared" si="5"/>
        <v>SVEUČILIŠTE J. J. STROSSMAYERA U OSIJEKU - MEDICINSKI FAKULTET (22849)</v>
      </c>
      <c r="E165" s="212" t="s">
        <v>290</v>
      </c>
      <c r="F165" s="212" t="s">
        <v>279</v>
      </c>
      <c r="G165" s="213">
        <v>1388142</v>
      </c>
      <c r="H165" s="214" t="s">
        <v>291</v>
      </c>
      <c r="J165" s="204"/>
    </row>
    <row r="166" spans="1:10" s="204" customFormat="1" ht="15" customHeight="1">
      <c r="A166" s="210">
        <f t="shared" si="4"/>
        <v>163</v>
      </c>
      <c r="B166" s="211">
        <v>2292</v>
      </c>
      <c r="C166" s="212" t="s">
        <v>1768</v>
      </c>
      <c r="D166" s="212" t="str">
        <f t="shared" si="5"/>
        <v>SVEUČILIŠTE J. J. STROSSMAYERA U OSIJEKU - PRAVNI FAKULTET (2292)</v>
      </c>
      <c r="E166" s="212" t="s">
        <v>294</v>
      </c>
      <c r="F166" s="212" t="s">
        <v>279</v>
      </c>
      <c r="G166" s="213">
        <v>3014193</v>
      </c>
      <c r="H166" s="214" t="s">
        <v>295</v>
      </c>
    </row>
    <row r="167" spans="1:10" ht="15" customHeight="1">
      <c r="A167" s="210">
        <f t="shared" si="4"/>
        <v>164</v>
      </c>
      <c r="B167" s="211">
        <v>2276</v>
      </c>
      <c r="C167" s="212" t="s">
        <v>1769</v>
      </c>
      <c r="D167" s="212" t="str">
        <f t="shared" si="5"/>
        <v>SVEUČILIŠTE J. J. STROSSMAYERA U OSIJEKU - PREHRAMBENO TEHNOLOŠKI FAKULTET (2276)</v>
      </c>
      <c r="E167" s="212" t="s">
        <v>1770</v>
      </c>
      <c r="F167" s="212" t="s">
        <v>279</v>
      </c>
      <c r="G167" s="213">
        <v>3058204</v>
      </c>
      <c r="H167" s="214" t="s">
        <v>296</v>
      </c>
      <c r="J167" s="204"/>
    </row>
    <row r="168" spans="1:10" s="204" customFormat="1" ht="15" customHeight="1">
      <c r="A168" s="210">
        <f t="shared" si="4"/>
        <v>165</v>
      </c>
      <c r="B168" s="211">
        <v>42024</v>
      </c>
      <c r="C168" s="212" t="s">
        <v>305</v>
      </c>
      <c r="D168" s="212" t="str">
        <f t="shared" si="5"/>
        <v>SVEUČILIŠTE JURJA DOBRILE U PULI (42024)</v>
      </c>
      <c r="E168" s="212" t="s">
        <v>306</v>
      </c>
      <c r="F168" s="212" t="s">
        <v>307</v>
      </c>
      <c r="G168" s="213">
        <v>2161753</v>
      </c>
      <c r="H168" s="214" t="s">
        <v>308</v>
      </c>
    </row>
    <row r="169" spans="1:10" s="204" customFormat="1" ht="15" customHeight="1">
      <c r="A169" s="210">
        <f t="shared" si="4"/>
        <v>166</v>
      </c>
      <c r="B169" s="211">
        <v>48267</v>
      </c>
      <c r="C169" s="212" t="s">
        <v>309</v>
      </c>
      <c r="D169" s="212" t="str">
        <f t="shared" si="5"/>
        <v>SVEUČILIŠTE SJEVER (48267)</v>
      </c>
      <c r="E169" s="212" t="s">
        <v>1715</v>
      </c>
      <c r="F169" s="212" t="s">
        <v>310</v>
      </c>
      <c r="G169" s="213">
        <v>2752298</v>
      </c>
      <c r="H169" s="214" t="s">
        <v>311</v>
      </c>
    </row>
    <row r="170" spans="1:10" s="228" customFormat="1" ht="15" customHeight="1">
      <c r="A170" s="210">
        <f t="shared" si="4"/>
        <v>167</v>
      </c>
      <c r="B170" s="211">
        <v>24141</v>
      </c>
      <c r="C170" s="212" t="s">
        <v>312</v>
      </c>
      <c r="D170" s="212" t="str">
        <f t="shared" si="5"/>
        <v>SVEUČILIŠTE U DUBROVNIKU (24141)</v>
      </c>
      <c r="E170" s="212" t="s">
        <v>313</v>
      </c>
      <c r="F170" s="212" t="s">
        <v>314</v>
      </c>
      <c r="G170" s="213">
        <v>1787578</v>
      </c>
      <c r="H170" s="214" t="s">
        <v>315</v>
      </c>
      <c r="J170" s="204"/>
    </row>
    <row r="171" spans="1:10" s="204" customFormat="1" ht="15" customHeight="1">
      <c r="A171" s="210">
        <f t="shared" si="4"/>
        <v>168</v>
      </c>
      <c r="B171" s="211">
        <v>2444</v>
      </c>
      <c r="C171" s="212" t="s">
        <v>319</v>
      </c>
      <c r="D171" s="212" t="str">
        <f t="shared" si="5"/>
        <v>SVEUČILIŠTE U RIJECI (2444)</v>
      </c>
      <c r="E171" s="212" t="s">
        <v>320</v>
      </c>
      <c r="F171" s="212" t="s">
        <v>321</v>
      </c>
      <c r="G171" s="213">
        <v>3337413</v>
      </c>
      <c r="H171" s="214" t="s">
        <v>322</v>
      </c>
    </row>
    <row r="172" spans="1:10" ht="15" customHeight="1">
      <c r="A172" s="210">
        <f t="shared" si="4"/>
        <v>169</v>
      </c>
      <c r="B172" s="211">
        <v>38454</v>
      </c>
      <c r="C172" s="212" t="s">
        <v>323</v>
      </c>
      <c r="D172" s="212" t="str">
        <f t="shared" si="5"/>
        <v>SVEUČILIŠTE U RIJECI - AKADEMIJA PRIMJENJENIH UMJETNOSTI (38454)</v>
      </c>
      <c r="E172" s="212" t="s">
        <v>324</v>
      </c>
      <c r="F172" s="212" t="s">
        <v>321</v>
      </c>
      <c r="G172" s="220">
        <v>1954253</v>
      </c>
      <c r="H172" s="214" t="s">
        <v>325</v>
      </c>
      <c r="J172" s="204"/>
    </row>
    <row r="173" spans="1:10" ht="15" customHeight="1">
      <c r="A173" s="210">
        <f t="shared" si="4"/>
        <v>170</v>
      </c>
      <c r="B173" s="211">
        <v>2186</v>
      </c>
      <c r="C173" s="212" t="s">
        <v>326</v>
      </c>
      <c r="D173" s="212" t="str">
        <f t="shared" si="5"/>
        <v>SVEUČILIŠTE U RIJECI - EKONOMSKI FAKULTET (2186)</v>
      </c>
      <c r="E173" s="212" t="s">
        <v>327</v>
      </c>
      <c r="F173" s="212" t="s">
        <v>321</v>
      </c>
      <c r="G173" s="213">
        <v>3328627</v>
      </c>
      <c r="H173" s="214" t="s">
        <v>328</v>
      </c>
      <c r="J173" s="204"/>
    </row>
    <row r="174" spans="1:10" ht="15" customHeight="1">
      <c r="A174" s="210">
        <f t="shared" si="4"/>
        <v>171</v>
      </c>
      <c r="B174" s="211">
        <v>2194</v>
      </c>
      <c r="C174" s="212" t="s">
        <v>329</v>
      </c>
      <c r="D174" s="212" t="str">
        <f t="shared" si="5"/>
        <v>SVEUČILIŠTE U RIJECI - FAKULTET ZA MENADŽMENT U TURIZMU I UGOSTITELJSTVU (2194)</v>
      </c>
      <c r="E174" s="212" t="s">
        <v>330</v>
      </c>
      <c r="F174" s="212" t="s">
        <v>331</v>
      </c>
      <c r="G174" s="213">
        <v>3091732</v>
      </c>
      <c r="H174" s="214" t="s">
        <v>332</v>
      </c>
      <c r="J174" s="204"/>
    </row>
    <row r="175" spans="1:10" ht="15" customHeight="1">
      <c r="A175" s="210">
        <f t="shared" si="4"/>
        <v>172</v>
      </c>
      <c r="B175" s="211">
        <v>48023</v>
      </c>
      <c r="C175" s="212" t="s">
        <v>356</v>
      </c>
      <c r="D175" s="212" t="str">
        <f t="shared" si="5"/>
        <v>SVEUČILIŠTE U RIJECI - FAKULTET ZDRAVSTVENIH STUDIJA U RIJECI (48023)</v>
      </c>
      <c r="E175" s="212" t="s">
        <v>357</v>
      </c>
      <c r="F175" s="212" t="s">
        <v>321</v>
      </c>
      <c r="G175" s="215" t="s">
        <v>358</v>
      </c>
      <c r="H175" s="214" t="s">
        <v>359</v>
      </c>
      <c r="J175" s="204"/>
    </row>
    <row r="176" spans="1:10" s="204" customFormat="1" ht="15" customHeight="1">
      <c r="A176" s="210">
        <f t="shared" si="4"/>
        <v>173</v>
      </c>
      <c r="B176" s="211">
        <v>22857</v>
      </c>
      <c r="C176" s="212" t="s">
        <v>333</v>
      </c>
      <c r="D176" s="212" t="str">
        <f t="shared" si="5"/>
        <v>SVEUČILIŠTE U RIJECI - FILOZOFSKI FAKULTET (22857)</v>
      </c>
      <c r="E176" s="212" t="s">
        <v>334</v>
      </c>
      <c r="F176" s="212" t="s">
        <v>321</v>
      </c>
      <c r="G176" s="213">
        <v>3368491</v>
      </c>
      <c r="H176" s="214" t="s">
        <v>335</v>
      </c>
    </row>
    <row r="177" spans="1:10" ht="15" customHeight="1">
      <c r="A177" s="210">
        <f t="shared" si="4"/>
        <v>174</v>
      </c>
      <c r="B177" s="211">
        <v>2160</v>
      </c>
      <c r="C177" s="212" t="s">
        <v>1716</v>
      </c>
      <c r="D177" s="212" t="str">
        <f t="shared" si="5"/>
        <v>SVEUČILIŠTE U RIJECI - GRAĐEVINSKI FAKULTET (2160)</v>
      </c>
      <c r="E177" s="212" t="s">
        <v>336</v>
      </c>
      <c r="F177" s="212" t="s">
        <v>321</v>
      </c>
      <c r="G177" s="213">
        <v>3395855</v>
      </c>
      <c r="H177" s="214" t="s">
        <v>337</v>
      </c>
      <c r="J177" s="204"/>
    </row>
    <row r="178" spans="1:10" ht="15" customHeight="1">
      <c r="A178" s="210">
        <f t="shared" si="4"/>
        <v>175</v>
      </c>
      <c r="B178" s="211">
        <v>2225</v>
      </c>
      <c r="C178" s="212" t="s">
        <v>338</v>
      </c>
      <c r="D178" s="212" t="str">
        <f t="shared" si="5"/>
        <v>SVEUČILIŠTE U RIJECI - MEDICINSKI FAKULTET (2225)</v>
      </c>
      <c r="E178" s="212" t="s">
        <v>339</v>
      </c>
      <c r="F178" s="212" t="s">
        <v>321</v>
      </c>
      <c r="G178" s="213">
        <v>3328554</v>
      </c>
      <c r="H178" s="214" t="s">
        <v>340</v>
      </c>
      <c r="J178" s="204"/>
    </row>
    <row r="179" spans="1:10" s="204" customFormat="1" ht="15" customHeight="1">
      <c r="A179" s="210">
        <f t="shared" si="4"/>
        <v>176</v>
      </c>
      <c r="B179" s="211">
        <v>22568</v>
      </c>
      <c r="C179" s="212" t="s">
        <v>4010</v>
      </c>
      <c r="D179" s="212" t="str">
        <f t="shared" si="5"/>
        <v>SVEUČILIŠTE U RIJECI, POMORSKI FAKULTET (22568)</v>
      </c>
      <c r="E179" s="212" t="s">
        <v>342</v>
      </c>
      <c r="F179" s="212" t="s">
        <v>321</v>
      </c>
      <c r="G179" s="213">
        <v>1580485</v>
      </c>
      <c r="H179" s="214" t="s">
        <v>343</v>
      </c>
    </row>
    <row r="180" spans="1:10" ht="15" customHeight="1">
      <c r="A180" s="210">
        <f t="shared" si="4"/>
        <v>177</v>
      </c>
      <c r="B180" s="211">
        <v>2217</v>
      </c>
      <c r="C180" s="212" t="s">
        <v>344</v>
      </c>
      <c r="D180" s="212" t="str">
        <f t="shared" si="5"/>
        <v>SVEUČILIŠTE U RIJECI - PRAVNI FAKULTET (2217)</v>
      </c>
      <c r="E180" s="212" t="s">
        <v>345</v>
      </c>
      <c r="F180" s="212" t="s">
        <v>321</v>
      </c>
      <c r="G180" s="213">
        <v>3328562</v>
      </c>
      <c r="H180" s="214" t="s">
        <v>346</v>
      </c>
      <c r="J180" s="204"/>
    </row>
    <row r="181" spans="1:10" ht="15" customHeight="1">
      <c r="A181" s="210">
        <f t="shared" si="4"/>
        <v>178</v>
      </c>
      <c r="B181" s="211">
        <v>2493</v>
      </c>
      <c r="C181" s="212" t="s">
        <v>347</v>
      </c>
      <c r="D181" s="212" t="str">
        <f t="shared" si="5"/>
        <v>SVEUČILIŠTE U RIJECI - SVEUČILIŠNA KNJIŽNICA (2493)</v>
      </c>
      <c r="E181" s="212" t="s">
        <v>348</v>
      </c>
      <c r="F181" s="212" t="s">
        <v>321</v>
      </c>
      <c r="G181" s="213">
        <v>3328686</v>
      </c>
      <c r="H181" s="214" t="s">
        <v>349</v>
      </c>
      <c r="J181" s="204"/>
    </row>
    <row r="182" spans="1:10" ht="15" customHeight="1">
      <c r="A182" s="210">
        <f t="shared" si="4"/>
        <v>179</v>
      </c>
      <c r="B182" s="211">
        <v>2151</v>
      </c>
      <c r="C182" s="212" t="s">
        <v>350</v>
      </c>
      <c r="D182" s="212" t="str">
        <f t="shared" si="5"/>
        <v>SVEUČILIŠTE U RIJECI - TEHNIČKI FAKULTET (2151)</v>
      </c>
      <c r="E182" s="212" t="s">
        <v>351</v>
      </c>
      <c r="F182" s="212" t="s">
        <v>321</v>
      </c>
      <c r="G182" s="213">
        <v>3334317</v>
      </c>
      <c r="H182" s="214" t="s">
        <v>352</v>
      </c>
      <c r="J182" s="204"/>
    </row>
    <row r="183" spans="1:10" ht="15" customHeight="1">
      <c r="A183" s="210">
        <f t="shared" si="4"/>
        <v>180</v>
      </c>
      <c r="B183" s="211">
        <v>40947</v>
      </c>
      <c r="C183" s="212" t="s">
        <v>353</v>
      </c>
      <c r="D183" s="212" t="str">
        <f t="shared" si="5"/>
        <v>SVEUČILIŠTE U RIJECI - UČITELJSKI FAKULTET (40947)</v>
      </c>
      <c r="E183" s="212" t="s">
        <v>354</v>
      </c>
      <c r="F183" s="212" t="s">
        <v>321</v>
      </c>
      <c r="G183" s="213">
        <v>2116073</v>
      </c>
      <c r="H183" s="214" t="s">
        <v>355</v>
      </c>
      <c r="J183" s="204"/>
    </row>
    <row r="184" spans="1:10" s="204" customFormat="1" ht="15" customHeight="1">
      <c r="A184" s="210">
        <f t="shared" si="4"/>
        <v>181</v>
      </c>
      <c r="B184" s="211">
        <v>51360</v>
      </c>
      <c r="C184" s="212" t="s">
        <v>1714</v>
      </c>
      <c r="D184" s="212" t="str">
        <f t="shared" si="5"/>
        <v>SVEUČILIŠTE U SLAVONSKOM BRODU (51360)</v>
      </c>
      <c r="E184" s="222" t="s">
        <v>1771</v>
      </c>
      <c r="F184" s="212" t="s">
        <v>1772</v>
      </c>
      <c r="G184" s="213">
        <v>5290538</v>
      </c>
      <c r="H184" s="214" t="s">
        <v>1773</v>
      </c>
    </row>
    <row r="185" spans="1:10" ht="15" customHeight="1">
      <c r="A185" s="210">
        <f t="shared" si="4"/>
        <v>182</v>
      </c>
      <c r="B185" s="211">
        <v>2469</v>
      </c>
      <c r="C185" s="212" t="s">
        <v>360</v>
      </c>
      <c r="D185" s="212" t="str">
        <f t="shared" si="5"/>
        <v>SVEUČILIŠTE U SPLITU (2469)</v>
      </c>
      <c r="E185" s="212" t="s">
        <v>370</v>
      </c>
      <c r="F185" s="212" t="s">
        <v>361</v>
      </c>
      <c r="G185" s="213">
        <v>3129306</v>
      </c>
      <c r="H185" s="214" t="s">
        <v>362</v>
      </c>
      <c r="J185" s="204"/>
    </row>
    <row r="186" spans="1:10" ht="15" customHeight="1">
      <c r="A186" s="210">
        <f t="shared" si="4"/>
        <v>183</v>
      </c>
      <c r="B186" s="211">
        <v>2372</v>
      </c>
      <c r="C186" s="212" t="s">
        <v>363</v>
      </c>
      <c r="D186" s="212" t="str">
        <f t="shared" si="5"/>
        <v>SVEUČILIŠTE U SPLITU - EKONOMSKI FAKULTET (2372)</v>
      </c>
      <c r="E186" s="212" t="s">
        <v>364</v>
      </c>
      <c r="F186" s="212" t="s">
        <v>361</v>
      </c>
      <c r="G186" s="213">
        <v>3119076</v>
      </c>
      <c r="H186" s="214" t="s">
        <v>365</v>
      </c>
      <c r="J186" s="204"/>
    </row>
    <row r="187" spans="1:10" ht="15" customHeight="1">
      <c r="A187" s="210">
        <f t="shared" ref="A187:A250" si="6">+A186+1</f>
        <v>184</v>
      </c>
      <c r="B187" s="211">
        <v>2330</v>
      </c>
      <c r="C187" s="212" t="s">
        <v>366</v>
      </c>
      <c r="D187" s="212" t="str">
        <f t="shared" si="5"/>
        <v>SVEUČILIŠTE U SPLITU - FAKULTET ELEKTROTEHNIKE, STROJARSTVA I BRODOGRADNJE (2330)</v>
      </c>
      <c r="E187" s="212" t="s">
        <v>367</v>
      </c>
      <c r="F187" s="212" t="s">
        <v>361</v>
      </c>
      <c r="G187" s="213">
        <v>3118339</v>
      </c>
      <c r="H187" s="214" t="s">
        <v>368</v>
      </c>
      <c r="J187" s="204"/>
    </row>
    <row r="188" spans="1:10" ht="15" customHeight="1">
      <c r="A188" s="210">
        <f t="shared" si="6"/>
        <v>185</v>
      </c>
      <c r="B188" s="211">
        <v>2348</v>
      </c>
      <c r="C188" s="212" t="s">
        <v>372</v>
      </c>
      <c r="D188" s="212" t="str">
        <f t="shared" si="5"/>
        <v>SVEUČILIŠTE U SPLITU - FAKULTET GRAĐEVINARSTVA, ARHITEKTURE I GEODEZIJE (2348)</v>
      </c>
      <c r="E188" s="212" t="s">
        <v>373</v>
      </c>
      <c r="F188" s="212" t="s">
        <v>361</v>
      </c>
      <c r="G188" s="213">
        <v>3149463</v>
      </c>
      <c r="H188" s="214" t="s">
        <v>374</v>
      </c>
      <c r="J188" s="204"/>
    </row>
    <row r="189" spans="1:10" ht="15" customHeight="1">
      <c r="A189" s="210">
        <f t="shared" si="6"/>
        <v>186</v>
      </c>
      <c r="B189" s="211">
        <v>22435</v>
      </c>
      <c r="C189" s="212" t="s">
        <v>369</v>
      </c>
      <c r="D189" s="212" t="str">
        <f t="shared" si="5"/>
        <v>SVEUČILIŠTE U SPLITU - FILOZOFSKI FAKULTET (22435)</v>
      </c>
      <c r="E189" s="212" t="s">
        <v>370</v>
      </c>
      <c r="F189" s="212" t="s">
        <v>361</v>
      </c>
      <c r="G189" s="213">
        <v>1413236</v>
      </c>
      <c r="H189" s="214" t="s">
        <v>371</v>
      </c>
      <c r="J189" s="204"/>
    </row>
    <row r="190" spans="1:10" ht="15" customHeight="1">
      <c r="A190" s="210">
        <f t="shared" si="6"/>
        <v>187</v>
      </c>
      <c r="B190" s="211">
        <v>23368</v>
      </c>
      <c r="C190" s="212" t="s">
        <v>380</v>
      </c>
      <c r="D190" s="212" t="str">
        <f t="shared" si="5"/>
        <v>SVEUČILIŠTE U SPLITU - KATOLIČKI BOGOSLOVNI FAKULTET (23368)</v>
      </c>
      <c r="E190" s="212" t="s">
        <v>381</v>
      </c>
      <c r="F190" s="212" t="s">
        <v>361</v>
      </c>
      <c r="G190" s="220">
        <v>1465643</v>
      </c>
      <c r="H190" s="214">
        <v>36149548625</v>
      </c>
      <c r="J190" s="204"/>
    </row>
    <row r="191" spans="1:10" ht="15" customHeight="1">
      <c r="A191" s="210">
        <f t="shared" si="6"/>
        <v>188</v>
      </c>
      <c r="B191" s="211">
        <v>2356</v>
      </c>
      <c r="C191" s="212" t="s">
        <v>375</v>
      </c>
      <c r="D191" s="212" t="str">
        <f t="shared" si="5"/>
        <v>SVEUČILIŠTE U SPLITU - KEMIJSKO-TEHNOLOŠKI FAKULTET (2356)</v>
      </c>
      <c r="E191" s="212" t="s">
        <v>1717</v>
      </c>
      <c r="F191" s="212" t="s">
        <v>361</v>
      </c>
      <c r="G191" s="213">
        <v>3119068</v>
      </c>
      <c r="H191" s="214" t="s">
        <v>376</v>
      </c>
      <c r="J191" s="204"/>
    </row>
    <row r="192" spans="1:10" ht="15" customHeight="1">
      <c r="A192" s="210">
        <f t="shared" si="6"/>
        <v>189</v>
      </c>
      <c r="B192" s="211">
        <v>43773</v>
      </c>
      <c r="C192" s="212" t="s">
        <v>377</v>
      </c>
      <c r="D192" s="212" t="str">
        <f t="shared" si="5"/>
        <v>SVEUČILIŠTE U SPLITU - KINEZIOLOŠKI FAKULTET (43773)</v>
      </c>
      <c r="E192" s="212" t="s">
        <v>378</v>
      </c>
      <c r="F192" s="212" t="s">
        <v>361</v>
      </c>
      <c r="G192" s="220">
        <v>2393255</v>
      </c>
      <c r="H192" s="214" t="s">
        <v>379</v>
      </c>
      <c r="J192" s="204"/>
    </row>
    <row r="193" spans="1:10" ht="15" customHeight="1">
      <c r="A193" s="210">
        <f t="shared" si="6"/>
        <v>190</v>
      </c>
      <c r="B193" s="211">
        <v>22451</v>
      </c>
      <c r="C193" s="212" t="s">
        <v>382</v>
      </c>
      <c r="D193" s="212" t="str">
        <f t="shared" si="5"/>
        <v>SVEUČILIŠTE U SPLITU - MEDICINSKI FAKULTET (22451)</v>
      </c>
      <c r="E193" s="212" t="s">
        <v>383</v>
      </c>
      <c r="F193" s="212" t="s">
        <v>361</v>
      </c>
      <c r="G193" s="213">
        <v>1315366</v>
      </c>
      <c r="H193" s="214" t="s">
        <v>384</v>
      </c>
      <c r="J193" s="204"/>
    </row>
    <row r="194" spans="1:10" ht="15" customHeight="1">
      <c r="A194" s="210">
        <f t="shared" si="6"/>
        <v>191</v>
      </c>
      <c r="B194" s="211">
        <v>22460</v>
      </c>
      <c r="C194" s="212" t="s">
        <v>385</v>
      </c>
      <c r="D194" s="212" t="str">
        <f t="shared" si="5"/>
        <v>SVEUČILIŠTE U SPLITU - POMORSKI FAKULTET (22460)</v>
      </c>
      <c r="E194" s="212" t="s">
        <v>1718</v>
      </c>
      <c r="F194" s="212" t="s">
        <v>361</v>
      </c>
      <c r="G194" s="213">
        <v>1406043</v>
      </c>
      <c r="H194" s="214" t="s">
        <v>386</v>
      </c>
      <c r="J194" s="204"/>
    </row>
    <row r="195" spans="1:10" ht="15" customHeight="1">
      <c r="A195" s="210">
        <f t="shared" si="6"/>
        <v>192</v>
      </c>
      <c r="B195" s="211">
        <v>2397</v>
      </c>
      <c r="C195" s="212" t="s">
        <v>387</v>
      </c>
      <c r="D195" s="212" t="str">
        <f t="shared" si="5"/>
        <v>SVEUČILIŠTE U SPLITU - PRAVNI FAKULTET (2397)</v>
      </c>
      <c r="E195" s="212" t="s">
        <v>388</v>
      </c>
      <c r="F195" s="212" t="s">
        <v>361</v>
      </c>
      <c r="G195" s="213">
        <v>3118347</v>
      </c>
      <c r="H195" s="214" t="s">
        <v>389</v>
      </c>
      <c r="J195" s="204"/>
    </row>
    <row r="196" spans="1:10" ht="15" customHeight="1">
      <c r="A196" s="210">
        <f t="shared" si="6"/>
        <v>193</v>
      </c>
      <c r="B196" s="211">
        <v>2410</v>
      </c>
      <c r="C196" s="212" t="s">
        <v>390</v>
      </c>
      <c r="D196" s="212" t="str">
        <f t="shared" ref="D196:D259" si="7">C196&amp;" ("&amp;B196&amp;")"</f>
        <v>SVEUČILIŠTE U SPLITU - PRIRODOSLOVNO - MATEMATIČKI FAKULTET (2410)</v>
      </c>
      <c r="E196" s="212" t="s">
        <v>1719</v>
      </c>
      <c r="F196" s="212" t="s">
        <v>361</v>
      </c>
      <c r="G196" s="213">
        <v>3199622</v>
      </c>
      <c r="H196" s="214" t="s">
        <v>391</v>
      </c>
      <c r="J196" s="204"/>
    </row>
    <row r="197" spans="1:10" ht="15" customHeight="1">
      <c r="A197" s="210">
        <f t="shared" si="6"/>
        <v>194</v>
      </c>
      <c r="B197" s="211">
        <v>2524</v>
      </c>
      <c r="C197" s="212" t="s">
        <v>392</v>
      </c>
      <c r="D197" s="212" t="str">
        <f t="shared" si="7"/>
        <v>SVEUČILIŠTE U SPLITU - SVEUČILIŠNA KNJIŽNICA (2524)</v>
      </c>
      <c r="E197" s="212" t="s">
        <v>393</v>
      </c>
      <c r="F197" s="212" t="s">
        <v>361</v>
      </c>
      <c r="G197" s="213">
        <v>3118436</v>
      </c>
      <c r="H197" s="214" t="s">
        <v>394</v>
      </c>
      <c r="J197" s="204"/>
    </row>
    <row r="198" spans="1:10" ht="15" customHeight="1">
      <c r="A198" s="210">
        <f t="shared" si="6"/>
        <v>195</v>
      </c>
      <c r="B198" s="211">
        <v>22478</v>
      </c>
      <c r="C198" s="212" t="s">
        <v>395</v>
      </c>
      <c r="D198" s="212" t="str">
        <f t="shared" si="7"/>
        <v>SVEUČILIŠTE U SPLITU - UMJETNIČKA AKADEMIJA (22478)</v>
      </c>
      <c r="E198" s="212" t="s">
        <v>396</v>
      </c>
      <c r="F198" s="212" t="s">
        <v>361</v>
      </c>
      <c r="G198" s="213">
        <v>1321358</v>
      </c>
      <c r="H198" s="214" t="s">
        <v>397</v>
      </c>
      <c r="J198" s="204"/>
    </row>
    <row r="199" spans="1:10" ht="15" customHeight="1">
      <c r="A199" s="210">
        <f t="shared" si="6"/>
        <v>196</v>
      </c>
      <c r="B199" s="211">
        <v>23815</v>
      </c>
      <c r="C199" s="212" t="s">
        <v>316</v>
      </c>
      <c r="D199" s="212" t="str">
        <f t="shared" si="7"/>
        <v>SVEUČILIŠTE U ZADRU (23815)</v>
      </c>
      <c r="E199" s="212" t="s">
        <v>1720</v>
      </c>
      <c r="F199" s="212" t="s">
        <v>317</v>
      </c>
      <c r="G199" s="213">
        <v>1695525</v>
      </c>
      <c r="H199" s="214" t="s">
        <v>318</v>
      </c>
      <c r="J199" s="204"/>
    </row>
    <row r="200" spans="1:10" ht="15" customHeight="1">
      <c r="A200" s="210">
        <f t="shared" si="6"/>
        <v>197</v>
      </c>
      <c r="B200" s="211">
        <v>2436</v>
      </c>
      <c r="C200" s="212" t="s">
        <v>398</v>
      </c>
      <c r="D200" s="212" t="str">
        <f t="shared" si="7"/>
        <v>SVEUČILIŠTE U ZAGREBU (2436)</v>
      </c>
      <c r="E200" s="212" t="s">
        <v>466</v>
      </c>
      <c r="F200" s="212" t="s">
        <v>276</v>
      </c>
      <c r="G200" s="213">
        <v>3211592</v>
      </c>
      <c r="H200" s="214" t="s">
        <v>399</v>
      </c>
      <c r="J200" s="204"/>
    </row>
    <row r="201" spans="1:10" ht="15" customHeight="1">
      <c r="A201" s="210">
        <f t="shared" si="6"/>
        <v>198</v>
      </c>
      <c r="B201" s="211">
        <v>1923</v>
      </c>
      <c r="C201" s="212" t="s">
        <v>400</v>
      </c>
      <c r="D201" s="212" t="str">
        <f t="shared" si="7"/>
        <v>SVEUČILIŠTE U ZAGREBU - AGRONOMSKI FAKULTET (1923)</v>
      </c>
      <c r="E201" s="212" t="s">
        <v>401</v>
      </c>
      <c r="F201" s="212" t="s">
        <v>276</v>
      </c>
      <c r="G201" s="213">
        <v>3283097</v>
      </c>
      <c r="H201" s="214" t="s">
        <v>402</v>
      </c>
      <c r="J201" s="204"/>
    </row>
    <row r="202" spans="1:10" ht="15" customHeight="1">
      <c r="A202" s="210">
        <f t="shared" si="6"/>
        <v>199</v>
      </c>
      <c r="B202" s="211">
        <v>1974</v>
      </c>
      <c r="C202" s="212" t="s">
        <v>403</v>
      </c>
      <c r="D202" s="212" t="str">
        <f t="shared" si="7"/>
        <v>SVEUČILIŠTE U ZAGREBU - AKADEMIJA DRAMSKE UMJETNOSTI (1974)</v>
      </c>
      <c r="E202" s="212" t="s">
        <v>404</v>
      </c>
      <c r="F202" s="212" t="s">
        <v>276</v>
      </c>
      <c r="G202" s="213">
        <v>3205029</v>
      </c>
      <c r="H202" s="214" t="s">
        <v>405</v>
      </c>
      <c r="J202" s="204"/>
    </row>
    <row r="203" spans="1:10" ht="15" customHeight="1">
      <c r="A203" s="210">
        <f t="shared" si="6"/>
        <v>200</v>
      </c>
      <c r="B203" s="211">
        <v>1982</v>
      </c>
      <c r="C203" s="212" t="s">
        <v>406</v>
      </c>
      <c r="D203" s="212" t="str">
        <f t="shared" si="7"/>
        <v>SVEUČILIŠTE U ZAGREBU - AKADEMIJA LIKOVNIH UMJETNOSTI (1982)</v>
      </c>
      <c r="E203" s="212" t="s">
        <v>407</v>
      </c>
      <c r="F203" s="212" t="s">
        <v>276</v>
      </c>
      <c r="G203" s="213">
        <v>3207919</v>
      </c>
      <c r="H203" s="214" t="s">
        <v>408</v>
      </c>
      <c r="J203" s="204"/>
    </row>
    <row r="204" spans="1:10" ht="15" customHeight="1">
      <c r="A204" s="210">
        <f t="shared" si="6"/>
        <v>201</v>
      </c>
      <c r="B204" s="211">
        <v>1861</v>
      </c>
      <c r="C204" s="212" t="s">
        <v>409</v>
      </c>
      <c r="D204" s="212" t="str">
        <f t="shared" si="7"/>
        <v>SVEUČILIŠTE U ZAGREBU - ARHITEKTONSKI FAKULTET  (1861)</v>
      </c>
      <c r="E204" s="212" t="s">
        <v>410</v>
      </c>
      <c r="F204" s="212" t="s">
        <v>276</v>
      </c>
      <c r="G204" s="213">
        <v>3204952</v>
      </c>
      <c r="H204" s="214" t="s">
        <v>411</v>
      </c>
      <c r="J204" s="204"/>
    </row>
    <row r="205" spans="1:10" ht="15" customHeight="1">
      <c r="A205" s="210">
        <f t="shared" si="6"/>
        <v>202</v>
      </c>
      <c r="B205" s="211">
        <v>1966</v>
      </c>
      <c r="C205" s="212" t="s">
        <v>412</v>
      </c>
      <c r="D205" s="212" t="str">
        <f t="shared" si="7"/>
        <v>SVEUČILIŠTE U ZAGREBU - EDUKACIJSKO-REHABILITACIJSKI FAKULTET  (1966)</v>
      </c>
      <c r="E205" s="212" t="s">
        <v>413</v>
      </c>
      <c r="F205" s="212" t="s">
        <v>276</v>
      </c>
      <c r="G205" s="213">
        <v>3219780</v>
      </c>
      <c r="H205" s="214" t="s">
        <v>414</v>
      </c>
      <c r="J205" s="204"/>
    </row>
    <row r="206" spans="1:10" ht="15" customHeight="1">
      <c r="A206" s="210">
        <f t="shared" si="6"/>
        <v>203</v>
      </c>
      <c r="B206" s="211">
        <v>1931</v>
      </c>
      <c r="C206" s="212" t="s">
        <v>415</v>
      </c>
      <c r="D206" s="212" t="str">
        <f t="shared" si="7"/>
        <v>SVEUČILIŠTE U ZAGREBU - EKONOMSKI FAKULTET (1931)</v>
      </c>
      <c r="E206" s="212" t="s">
        <v>4011</v>
      </c>
      <c r="F206" s="212" t="s">
        <v>276</v>
      </c>
      <c r="G206" s="213">
        <v>3272079</v>
      </c>
      <c r="H206" s="214" t="s">
        <v>416</v>
      </c>
      <c r="J206" s="204"/>
    </row>
    <row r="207" spans="1:10" ht="15" customHeight="1">
      <c r="A207" s="210">
        <f t="shared" si="6"/>
        <v>204</v>
      </c>
      <c r="B207" s="211">
        <v>1757</v>
      </c>
      <c r="C207" s="212" t="s">
        <v>417</v>
      </c>
      <c r="D207" s="212" t="str">
        <f t="shared" si="7"/>
        <v>SVEUČILIŠTE U ZAGREBU - FAKULTET ELEKTROTEHNIKE I RAČUNARSTVA (1757)</v>
      </c>
      <c r="E207" s="212" t="s">
        <v>418</v>
      </c>
      <c r="F207" s="212" t="s">
        <v>276</v>
      </c>
      <c r="G207" s="213">
        <v>3276643</v>
      </c>
      <c r="H207" s="214" t="s">
        <v>419</v>
      </c>
      <c r="J207" s="204"/>
    </row>
    <row r="208" spans="1:10" ht="15" customHeight="1">
      <c r="A208" s="210">
        <f t="shared" si="6"/>
        <v>205</v>
      </c>
      <c r="B208" s="211">
        <v>6154</v>
      </c>
      <c r="C208" s="212" t="s">
        <v>1722</v>
      </c>
      <c r="D208" s="212" t="str">
        <f t="shared" si="7"/>
        <v>SVEUČILIŠTE U ZAGREBU - FAKULTET FILOZOFIJE I RELIGIJSKIH ZNANOSTI (6154)</v>
      </c>
      <c r="E208" s="212" t="s">
        <v>420</v>
      </c>
      <c r="F208" s="212" t="s">
        <v>276</v>
      </c>
      <c r="G208" s="213">
        <v>1235664</v>
      </c>
      <c r="H208" s="214" t="s">
        <v>421</v>
      </c>
      <c r="J208" s="204"/>
    </row>
    <row r="209" spans="1:10" ht="15" customHeight="1">
      <c r="A209" s="210">
        <f t="shared" si="6"/>
        <v>206</v>
      </c>
      <c r="B209" s="211">
        <v>51191</v>
      </c>
      <c r="C209" s="212" t="s">
        <v>1723</v>
      </c>
      <c r="D209" s="212" t="str">
        <f t="shared" si="7"/>
        <v>SVEUČILIŠTE U ZAGREBU - FAKULTET HRVATSKIH STUDIJA (51191)</v>
      </c>
      <c r="E209" s="212" t="s">
        <v>1724</v>
      </c>
      <c r="F209" s="212" t="s">
        <v>276</v>
      </c>
      <c r="G209" s="213">
        <v>5214068</v>
      </c>
      <c r="H209" s="214" t="s">
        <v>1725</v>
      </c>
      <c r="J209" s="204"/>
    </row>
    <row r="210" spans="1:10" ht="15" customHeight="1">
      <c r="A210" s="210">
        <f t="shared" si="6"/>
        <v>207</v>
      </c>
      <c r="B210" s="211">
        <v>1790</v>
      </c>
      <c r="C210" s="212" t="s">
        <v>424</v>
      </c>
      <c r="D210" s="212" t="str">
        <f t="shared" si="7"/>
        <v>SVEUČILIŠTE U ZAGREBU - FAKULTET KEMIJSKOG INŽENJERSTVA I TEHNOLOGIJE (1790)</v>
      </c>
      <c r="E210" s="212" t="s">
        <v>425</v>
      </c>
      <c r="F210" s="212" t="s">
        <v>276</v>
      </c>
      <c r="G210" s="213">
        <v>3250270</v>
      </c>
      <c r="H210" s="214" t="s">
        <v>426</v>
      </c>
      <c r="J210" s="204"/>
    </row>
    <row r="211" spans="1:10" ht="15" customHeight="1">
      <c r="A211" s="210">
        <f t="shared" si="6"/>
        <v>208</v>
      </c>
      <c r="B211" s="211">
        <v>1907</v>
      </c>
      <c r="C211" s="212" t="s">
        <v>427</v>
      </c>
      <c r="D211" s="212" t="str">
        <f t="shared" si="7"/>
        <v>SVEUČILIŠTE U ZAGREBU - FAKULTET POLITIČKIH ZNANOSTI (1907)</v>
      </c>
      <c r="E211" s="212" t="s">
        <v>428</v>
      </c>
      <c r="F211" s="212" t="s">
        <v>276</v>
      </c>
      <c r="G211" s="213">
        <v>3270262</v>
      </c>
      <c r="H211" s="214" t="s">
        <v>429</v>
      </c>
      <c r="J211" s="204"/>
    </row>
    <row r="212" spans="1:10" ht="15" customHeight="1">
      <c r="A212" s="210">
        <f t="shared" si="6"/>
        <v>209</v>
      </c>
      <c r="B212" s="211">
        <v>1812</v>
      </c>
      <c r="C212" s="212" t="s">
        <v>430</v>
      </c>
      <c r="D212" s="212" t="str">
        <f t="shared" si="7"/>
        <v>SVEUČILIŠTE U ZAGREBU - FAKULTET PROMETNIH ZNANOSTI (1812)</v>
      </c>
      <c r="E212" s="212" t="s">
        <v>431</v>
      </c>
      <c r="F212" s="212" t="s">
        <v>276</v>
      </c>
      <c r="G212" s="213">
        <v>3260771</v>
      </c>
      <c r="H212" s="214" t="s">
        <v>432</v>
      </c>
      <c r="J212" s="204"/>
    </row>
    <row r="213" spans="1:10" ht="15" customHeight="1">
      <c r="A213" s="210">
        <f t="shared" si="6"/>
        <v>210</v>
      </c>
      <c r="B213" s="211">
        <v>1829</v>
      </c>
      <c r="C213" s="212" t="s">
        <v>433</v>
      </c>
      <c r="D213" s="212" t="str">
        <f t="shared" si="7"/>
        <v>SVEUČILIŠTE U ZAGREBU - FAKULTET STROJARSTVA I BRODOGRADNJE (1829)</v>
      </c>
      <c r="E213" s="212" t="s">
        <v>434</v>
      </c>
      <c r="F213" s="212" t="s">
        <v>276</v>
      </c>
      <c r="G213" s="213">
        <v>3276546</v>
      </c>
      <c r="H213" s="214" t="s">
        <v>435</v>
      </c>
      <c r="J213" s="204"/>
    </row>
    <row r="214" spans="1:10" ht="15" customHeight="1">
      <c r="A214" s="210">
        <f t="shared" si="6"/>
        <v>211</v>
      </c>
      <c r="B214" s="211">
        <v>2014</v>
      </c>
      <c r="C214" s="212" t="s">
        <v>436</v>
      </c>
      <c r="D214" s="212" t="str">
        <f t="shared" si="7"/>
        <v>SVEUČILIŠTE U ZAGREBU - FARMACEUTSKO-BIOKEMIJSKI FAKULTET  (2014)</v>
      </c>
      <c r="E214" s="212" t="s">
        <v>437</v>
      </c>
      <c r="F214" s="212" t="s">
        <v>276</v>
      </c>
      <c r="G214" s="213">
        <v>3205037</v>
      </c>
      <c r="H214" s="214" t="s">
        <v>438</v>
      </c>
      <c r="J214" s="204"/>
    </row>
    <row r="215" spans="1:10" ht="15" customHeight="1">
      <c r="A215" s="210">
        <f t="shared" si="6"/>
        <v>212</v>
      </c>
      <c r="B215" s="211">
        <v>1958</v>
      </c>
      <c r="C215" s="212" t="s">
        <v>439</v>
      </c>
      <c r="D215" s="212" t="str">
        <f t="shared" si="7"/>
        <v>SVEUČILIŠTE U ZAGREBU - FILOZOFSKI FAKULTET (1958)</v>
      </c>
      <c r="E215" s="212" t="s">
        <v>440</v>
      </c>
      <c r="F215" s="212" t="s">
        <v>276</v>
      </c>
      <c r="G215" s="213">
        <v>3254852</v>
      </c>
      <c r="H215" s="214" t="s">
        <v>441</v>
      </c>
      <c r="J215" s="204"/>
    </row>
    <row r="216" spans="1:10" ht="15" customHeight="1">
      <c r="A216" s="210">
        <f t="shared" si="6"/>
        <v>213</v>
      </c>
      <c r="B216" s="211">
        <v>1853</v>
      </c>
      <c r="C216" s="212" t="s">
        <v>442</v>
      </c>
      <c r="D216" s="212" t="str">
        <f t="shared" si="7"/>
        <v>SVEUČILIŠTE U ZAGREBU - GEODETSKI FAKULTET (1853)</v>
      </c>
      <c r="E216" s="212" t="s">
        <v>4012</v>
      </c>
      <c r="F216" s="212" t="s">
        <v>276</v>
      </c>
      <c r="G216" s="213">
        <v>3204987</v>
      </c>
      <c r="H216" s="214" t="s">
        <v>443</v>
      </c>
      <c r="J216" s="204"/>
    </row>
    <row r="217" spans="1:10" ht="15" customHeight="1">
      <c r="A217" s="210">
        <f t="shared" si="6"/>
        <v>214</v>
      </c>
      <c r="B217" s="211">
        <v>2102</v>
      </c>
      <c r="C217" s="212" t="s">
        <v>444</v>
      </c>
      <c r="D217" s="212" t="str">
        <f t="shared" si="7"/>
        <v>SVEUČILIŠTE U ZAGREBU - GEOTEHNIČKI FAKULTET (2102)</v>
      </c>
      <c r="E217" s="212" t="s">
        <v>445</v>
      </c>
      <c r="F217" s="212" t="s">
        <v>446</v>
      </c>
      <c r="G217" s="213">
        <v>3042316</v>
      </c>
      <c r="H217" s="214" t="s">
        <v>447</v>
      </c>
      <c r="J217" s="204"/>
    </row>
    <row r="218" spans="1:10" ht="15" customHeight="1">
      <c r="A218" s="210">
        <f t="shared" si="6"/>
        <v>215</v>
      </c>
      <c r="B218" s="211">
        <v>1837</v>
      </c>
      <c r="C218" s="212" t="s">
        <v>448</v>
      </c>
      <c r="D218" s="212" t="str">
        <f t="shared" si="7"/>
        <v>SVEUČILIŠTE U ZAGREBU - GRAĐEVINSKI FAKULTET (1837)</v>
      </c>
      <c r="E218" s="212" t="s">
        <v>449</v>
      </c>
      <c r="F218" s="212" t="s">
        <v>276</v>
      </c>
      <c r="G218" s="213">
        <v>3227120</v>
      </c>
      <c r="H218" s="214" t="s">
        <v>450</v>
      </c>
      <c r="J218" s="204"/>
    </row>
    <row r="219" spans="1:10" ht="15" customHeight="1">
      <c r="A219" s="210">
        <f t="shared" si="6"/>
        <v>216</v>
      </c>
      <c r="B219" s="211">
        <v>2080</v>
      </c>
      <c r="C219" s="212" t="s">
        <v>451</v>
      </c>
      <c r="D219" s="212" t="str">
        <f t="shared" si="7"/>
        <v>SVEUČILIŠTE U ZAGREBU - GRAFIČKI FAKULTET (2080)</v>
      </c>
      <c r="E219" s="212" t="s">
        <v>452</v>
      </c>
      <c r="F219" s="212" t="s">
        <v>276</v>
      </c>
      <c r="G219" s="213">
        <v>3219763</v>
      </c>
      <c r="H219" s="214" t="s">
        <v>453</v>
      </c>
      <c r="J219" s="204"/>
    </row>
    <row r="220" spans="1:10" ht="15" customHeight="1">
      <c r="A220" s="210">
        <f t="shared" si="6"/>
        <v>217</v>
      </c>
      <c r="B220" s="211">
        <v>2135</v>
      </c>
      <c r="C220" s="212" t="s">
        <v>422</v>
      </c>
      <c r="D220" s="212" t="str">
        <f t="shared" si="7"/>
        <v>SVEUČILIŠTE U ZAGREBU - KATOLIČKI BOGOSLOVNI FAKULTET  (2135)</v>
      </c>
      <c r="E220" s="212" t="s">
        <v>423</v>
      </c>
      <c r="F220" s="212" t="s">
        <v>276</v>
      </c>
      <c r="G220" s="213">
        <v>3703088</v>
      </c>
      <c r="H220" s="214">
        <v>48987767944</v>
      </c>
      <c r="J220" s="204"/>
    </row>
    <row r="221" spans="1:10" ht="15" customHeight="1">
      <c r="A221" s="210">
        <f t="shared" si="6"/>
        <v>218</v>
      </c>
      <c r="B221" s="211">
        <v>2006</v>
      </c>
      <c r="C221" s="212" t="s">
        <v>454</v>
      </c>
      <c r="D221" s="212" t="str">
        <f t="shared" si="7"/>
        <v>SVEUČILIŠTE U ZAGREBU - KINEZIOLOŠKI FAKULTET (2006)</v>
      </c>
      <c r="E221" s="212" t="s">
        <v>455</v>
      </c>
      <c r="F221" s="212" t="s">
        <v>276</v>
      </c>
      <c r="G221" s="213">
        <v>3274080</v>
      </c>
      <c r="H221" s="214" t="s">
        <v>456</v>
      </c>
      <c r="J221" s="204"/>
    </row>
    <row r="222" spans="1:10" ht="15" customHeight="1">
      <c r="A222" s="210">
        <f t="shared" si="6"/>
        <v>219</v>
      </c>
      <c r="B222" s="211">
        <v>1888</v>
      </c>
      <c r="C222" s="212" t="s">
        <v>457</v>
      </c>
      <c r="D222" s="212" t="str">
        <f t="shared" si="7"/>
        <v>SVEUČILIŠTE U ZAGREBU - MEDICINSKI FAKULTET (1888)</v>
      </c>
      <c r="E222" s="212" t="s">
        <v>458</v>
      </c>
      <c r="F222" s="212" t="s">
        <v>276</v>
      </c>
      <c r="G222" s="213">
        <v>3270211</v>
      </c>
      <c r="H222" s="214" t="s">
        <v>459</v>
      </c>
      <c r="J222" s="204"/>
    </row>
    <row r="223" spans="1:10" ht="15" customHeight="1">
      <c r="A223" s="210">
        <f t="shared" si="6"/>
        <v>220</v>
      </c>
      <c r="B223" s="211">
        <v>2071</v>
      </c>
      <c r="C223" s="212" t="s">
        <v>460</v>
      </c>
      <c r="D223" s="212" t="str">
        <f t="shared" si="7"/>
        <v>SVEUČILIŠTE U ZAGREBU - METALURŠKI FAKULTET SISAK (2071)</v>
      </c>
      <c r="E223" s="212" t="s">
        <v>461</v>
      </c>
      <c r="F223" s="212" t="s">
        <v>1727</v>
      </c>
      <c r="G223" s="213">
        <v>3313786</v>
      </c>
      <c r="H223" s="214" t="s">
        <v>462</v>
      </c>
      <c r="J223" s="204"/>
    </row>
    <row r="224" spans="1:10" ht="15" customHeight="1">
      <c r="A224" s="210">
        <f t="shared" si="6"/>
        <v>221</v>
      </c>
      <c r="B224" s="211">
        <v>1999</v>
      </c>
      <c r="C224" s="212" t="s">
        <v>463</v>
      </c>
      <c r="D224" s="212" t="str">
        <f t="shared" si="7"/>
        <v>SVEUČILIŠTE U ZAGREBU - MUZIČKA AKADEMIJA (1999)</v>
      </c>
      <c r="E224" s="212" t="s">
        <v>1728</v>
      </c>
      <c r="F224" s="212" t="s">
        <v>276</v>
      </c>
      <c r="G224" s="213">
        <v>3205002</v>
      </c>
      <c r="H224" s="214" t="s">
        <v>464</v>
      </c>
      <c r="J224" s="204"/>
    </row>
    <row r="225" spans="1:10" ht="15" customHeight="1">
      <c r="A225" s="210">
        <f t="shared" si="6"/>
        <v>222</v>
      </c>
      <c r="B225" s="211">
        <v>1915</v>
      </c>
      <c r="C225" s="212" t="s">
        <v>465</v>
      </c>
      <c r="D225" s="212" t="str">
        <f t="shared" si="7"/>
        <v>SVEUČILIŠTE U ZAGREBU - PRAVNI FAKULTET (1915)</v>
      </c>
      <c r="E225" s="212" t="s">
        <v>466</v>
      </c>
      <c r="F225" s="212" t="s">
        <v>276</v>
      </c>
      <c r="G225" s="213">
        <v>3225909</v>
      </c>
      <c r="H225" s="214" t="s">
        <v>467</v>
      </c>
      <c r="J225" s="204"/>
    </row>
    <row r="226" spans="1:10" ht="15" customHeight="1">
      <c r="A226" s="210">
        <f t="shared" si="6"/>
        <v>223</v>
      </c>
      <c r="B226" s="211">
        <v>1845</v>
      </c>
      <c r="C226" s="212" t="s">
        <v>468</v>
      </c>
      <c r="D226" s="212" t="str">
        <f t="shared" si="7"/>
        <v>SVEUČILIŠTE U ZAGREBU - PREHRAMBENO BIOTEHNOLOŠKI FAKULTET (1845)</v>
      </c>
      <c r="E226" s="212" t="s">
        <v>474</v>
      </c>
      <c r="F226" s="212" t="s">
        <v>276</v>
      </c>
      <c r="G226" s="213">
        <v>3207102</v>
      </c>
      <c r="H226" s="214" t="s">
        <v>469</v>
      </c>
      <c r="J226" s="204"/>
    </row>
    <row r="227" spans="1:10" ht="15" customHeight="1">
      <c r="A227" s="210">
        <f t="shared" si="6"/>
        <v>224</v>
      </c>
      <c r="B227" s="211">
        <v>1781</v>
      </c>
      <c r="C227" s="212" t="s">
        <v>470</v>
      </c>
      <c r="D227" s="212" t="str">
        <f t="shared" si="7"/>
        <v>SVEUČILIŠTE U ZAGREBU - PRIRODOSLOVNO-MATEMATIČKI FAKULTET (1781)</v>
      </c>
      <c r="E227" s="212" t="s">
        <v>471</v>
      </c>
      <c r="F227" s="212" t="s">
        <v>276</v>
      </c>
      <c r="G227" s="213">
        <v>3270149</v>
      </c>
      <c r="H227" s="214" t="s">
        <v>472</v>
      </c>
      <c r="J227" s="204"/>
    </row>
    <row r="228" spans="1:10" ht="15" customHeight="1">
      <c r="A228" s="210">
        <f t="shared" si="6"/>
        <v>225</v>
      </c>
      <c r="B228" s="211">
        <v>2047</v>
      </c>
      <c r="C228" s="212" t="s">
        <v>473</v>
      </c>
      <c r="D228" s="212" t="str">
        <f t="shared" si="7"/>
        <v>SVEUČILIŠTE U ZAGREBU - RUDARSKO-GEOLOŠKO-NAFTNI FAKULTET (2047)</v>
      </c>
      <c r="E228" s="212" t="s">
        <v>474</v>
      </c>
      <c r="F228" s="212" t="s">
        <v>276</v>
      </c>
      <c r="G228" s="213">
        <v>3207005</v>
      </c>
      <c r="H228" s="214" t="s">
        <v>475</v>
      </c>
      <c r="J228" s="204"/>
    </row>
    <row r="229" spans="1:10" ht="15" customHeight="1">
      <c r="A229" s="210">
        <f t="shared" si="6"/>
        <v>226</v>
      </c>
      <c r="B229" s="211">
        <v>1870</v>
      </c>
      <c r="C229" s="212" t="s">
        <v>476</v>
      </c>
      <c r="D229" s="212" t="str">
        <f t="shared" si="7"/>
        <v>SVEUČILIŠTE U ZAGREBU - STOMATOLOŠKI FAKULTET (1870)</v>
      </c>
      <c r="E229" s="212" t="s">
        <v>477</v>
      </c>
      <c r="F229" s="212" t="s">
        <v>276</v>
      </c>
      <c r="G229" s="213">
        <v>3204995</v>
      </c>
      <c r="H229" s="214" t="s">
        <v>478</v>
      </c>
      <c r="J229" s="204"/>
    </row>
    <row r="230" spans="1:10" ht="15" customHeight="1">
      <c r="A230" s="210">
        <f t="shared" si="6"/>
        <v>227</v>
      </c>
      <c r="B230" s="211">
        <v>1896</v>
      </c>
      <c r="C230" s="212" t="s">
        <v>1774</v>
      </c>
      <c r="D230" s="212" t="str">
        <f t="shared" si="7"/>
        <v>SVEUČILIŠTE U ZAGREBU - FAKULTET ŠUMARSTVA I DRVNE TEHNOLOGIJE (1896)</v>
      </c>
      <c r="E230" s="212" t="s">
        <v>401</v>
      </c>
      <c r="F230" s="212" t="s">
        <v>276</v>
      </c>
      <c r="G230" s="213">
        <v>3281485</v>
      </c>
      <c r="H230" s="214" t="s">
        <v>479</v>
      </c>
      <c r="J230" s="204"/>
    </row>
    <row r="231" spans="1:10" ht="15" customHeight="1">
      <c r="A231" s="210">
        <f t="shared" si="6"/>
        <v>228</v>
      </c>
      <c r="B231" s="211">
        <v>1804</v>
      </c>
      <c r="C231" s="212" t="s">
        <v>480</v>
      </c>
      <c r="D231" s="212" t="str">
        <f t="shared" si="7"/>
        <v>SVEUČILIŠTE U ZAGREBU - TEKSTILNO TEHNOLOŠKI FAKULTET (1804)</v>
      </c>
      <c r="E231" s="212" t="s">
        <v>481</v>
      </c>
      <c r="F231" s="212" t="s">
        <v>276</v>
      </c>
      <c r="G231" s="213">
        <v>3207064</v>
      </c>
      <c r="H231" s="214" t="s">
        <v>482</v>
      </c>
      <c r="J231" s="204"/>
    </row>
    <row r="232" spans="1:10" ht="15" customHeight="1">
      <c r="A232" s="210">
        <f t="shared" si="6"/>
        <v>229</v>
      </c>
      <c r="B232" s="211">
        <v>1940</v>
      </c>
      <c r="C232" s="212" t="s">
        <v>483</v>
      </c>
      <c r="D232" s="212" t="str">
        <f t="shared" si="7"/>
        <v>SVEUČILIŠTE U ZAGREBU - UČITELJSKI FAKULTET (1940)</v>
      </c>
      <c r="E232" s="212" t="s">
        <v>484</v>
      </c>
      <c r="F232" s="212" t="s">
        <v>276</v>
      </c>
      <c r="G232" s="213">
        <v>1422545</v>
      </c>
      <c r="H232" s="214" t="s">
        <v>485</v>
      </c>
      <c r="J232" s="204"/>
    </row>
    <row r="233" spans="1:10" ht="15" customHeight="1">
      <c r="A233" s="210">
        <f t="shared" si="6"/>
        <v>230</v>
      </c>
      <c r="B233" s="211">
        <v>2022</v>
      </c>
      <c r="C233" s="212" t="s">
        <v>486</v>
      </c>
      <c r="D233" s="212" t="str">
        <f t="shared" si="7"/>
        <v>SVEUČILIŠTE U ZAGREBU - VETERINARSKI FAKULTET (2022)</v>
      </c>
      <c r="E233" s="212" t="s">
        <v>487</v>
      </c>
      <c r="F233" s="212" t="s">
        <v>276</v>
      </c>
      <c r="G233" s="213">
        <v>3225755</v>
      </c>
      <c r="H233" s="214" t="s">
        <v>488</v>
      </c>
      <c r="J233" s="204"/>
    </row>
    <row r="234" spans="1:10" ht="15" customHeight="1">
      <c r="A234" s="210">
        <f t="shared" si="6"/>
        <v>231</v>
      </c>
      <c r="B234" s="211">
        <v>22427</v>
      </c>
      <c r="C234" s="212" t="s">
        <v>497</v>
      </c>
      <c r="D234" s="212" t="str">
        <f t="shared" si="7"/>
        <v>TEHNIČKO VELEUČILIŠTE U ZAGREBU (22427)</v>
      </c>
      <c r="E234" s="212" t="s">
        <v>498</v>
      </c>
      <c r="F234" s="212" t="s">
        <v>276</v>
      </c>
      <c r="G234" s="213">
        <v>1398270</v>
      </c>
      <c r="H234" s="214" t="s">
        <v>499</v>
      </c>
      <c r="J234" s="204"/>
    </row>
    <row r="235" spans="1:10" ht="24">
      <c r="A235" s="210">
        <f t="shared" si="6"/>
        <v>232</v>
      </c>
      <c r="B235" s="211">
        <v>50848</v>
      </c>
      <c r="C235" s="212" t="s">
        <v>1729</v>
      </c>
      <c r="D235" s="212" t="str">
        <f t="shared" si="7"/>
        <v>VELEUČILIŠTE HRVATSKO ZAGORJE KRAPINA (50848)</v>
      </c>
      <c r="E235" s="212" t="s">
        <v>1730</v>
      </c>
      <c r="F235" s="212" t="s">
        <v>1731</v>
      </c>
      <c r="G235" s="213">
        <v>2271354</v>
      </c>
      <c r="H235" s="214" t="s">
        <v>1732</v>
      </c>
      <c r="J235" s="204"/>
    </row>
    <row r="236" spans="1:10" ht="15" customHeight="1">
      <c r="A236" s="210">
        <f t="shared" si="6"/>
        <v>233</v>
      </c>
      <c r="B236" s="211">
        <v>38446</v>
      </c>
      <c r="C236" s="212" t="s">
        <v>500</v>
      </c>
      <c r="D236" s="212" t="str">
        <f t="shared" si="7"/>
        <v>VELEUČILIŠTE LAVOSLAV RUŽIČKA U VUKOVARU (38446)</v>
      </c>
      <c r="E236" s="222" t="s">
        <v>501</v>
      </c>
      <c r="F236" s="222" t="s">
        <v>502</v>
      </c>
      <c r="G236" s="213">
        <v>1970828</v>
      </c>
      <c r="H236" s="214" t="s">
        <v>503</v>
      </c>
      <c r="J236" s="204"/>
    </row>
    <row r="237" spans="1:10" ht="15" customHeight="1">
      <c r="A237" s="210">
        <f t="shared" si="6"/>
        <v>234</v>
      </c>
      <c r="B237" s="211">
        <v>38438</v>
      </c>
      <c r="C237" s="212" t="s">
        <v>504</v>
      </c>
      <c r="D237" s="212" t="str">
        <f t="shared" si="7"/>
        <v>VELEUČILIŠTE MARKO MARULIĆ U KNINU (38438)</v>
      </c>
      <c r="E237" s="221" t="s">
        <v>4013</v>
      </c>
      <c r="F237" s="221" t="s">
        <v>506</v>
      </c>
      <c r="G237" s="220">
        <v>1963813</v>
      </c>
      <c r="H237" s="214" t="s">
        <v>507</v>
      </c>
      <c r="J237" s="204"/>
    </row>
    <row r="238" spans="1:10" ht="15" customHeight="1">
      <c r="A238" s="210">
        <f t="shared" si="6"/>
        <v>235</v>
      </c>
      <c r="B238" s="211">
        <v>41185</v>
      </c>
      <c r="C238" s="212" t="s">
        <v>508</v>
      </c>
      <c r="D238" s="212" t="str">
        <f t="shared" si="7"/>
        <v>VELEUČILIŠTE NIKOLA TESLA U GOSPIĆU (41185)</v>
      </c>
      <c r="E238" s="212" t="s">
        <v>509</v>
      </c>
      <c r="F238" s="212" t="s">
        <v>510</v>
      </c>
      <c r="G238" s="213">
        <v>2103133</v>
      </c>
      <c r="H238" s="214" t="s">
        <v>511</v>
      </c>
      <c r="J238" s="204"/>
    </row>
    <row r="239" spans="1:10" ht="15" customHeight="1">
      <c r="A239" s="210">
        <f t="shared" si="6"/>
        <v>236</v>
      </c>
      <c r="B239" s="211">
        <v>21053</v>
      </c>
      <c r="C239" s="212" t="s">
        <v>512</v>
      </c>
      <c r="D239" s="212" t="str">
        <f t="shared" si="7"/>
        <v>VELEUČILIŠTE U KARLOVCU (21053)</v>
      </c>
      <c r="E239" s="212" t="s">
        <v>513</v>
      </c>
      <c r="F239" s="212" t="s">
        <v>514</v>
      </c>
      <c r="G239" s="213">
        <v>1286030</v>
      </c>
      <c r="H239" s="214" t="s">
        <v>515</v>
      </c>
      <c r="J239" s="204"/>
    </row>
    <row r="240" spans="1:10" ht="15" customHeight="1">
      <c r="A240" s="210">
        <f t="shared" si="6"/>
        <v>237</v>
      </c>
      <c r="B240" s="211">
        <v>22398</v>
      </c>
      <c r="C240" s="212" t="s">
        <v>516</v>
      </c>
      <c r="D240" s="212" t="str">
        <f t="shared" si="7"/>
        <v>VELEUČILIŠTE U POŽEGI (22398)</v>
      </c>
      <c r="E240" s="212" t="s">
        <v>517</v>
      </c>
      <c r="F240" s="212" t="s">
        <v>518</v>
      </c>
      <c r="G240" s="213">
        <v>1395521</v>
      </c>
      <c r="H240" s="214" t="s">
        <v>519</v>
      </c>
      <c r="J240" s="204"/>
    </row>
    <row r="241" spans="1:10" ht="15" customHeight="1">
      <c r="A241" s="210">
        <f t="shared" si="6"/>
        <v>238</v>
      </c>
      <c r="B241" s="211">
        <v>22494</v>
      </c>
      <c r="C241" s="212" t="s">
        <v>520</v>
      </c>
      <c r="D241" s="212" t="str">
        <f t="shared" si="7"/>
        <v>VELEUČILIŠTE U RIJECI (22494)</v>
      </c>
      <c r="E241" s="212" t="s">
        <v>521</v>
      </c>
      <c r="F241" s="212" t="s">
        <v>321</v>
      </c>
      <c r="G241" s="213">
        <v>1387332</v>
      </c>
      <c r="H241" s="214" t="s">
        <v>522</v>
      </c>
      <c r="J241" s="204"/>
    </row>
    <row r="242" spans="1:10" ht="15" customHeight="1">
      <c r="A242" s="210">
        <f t="shared" si="6"/>
        <v>239</v>
      </c>
      <c r="B242" s="211">
        <v>22824</v>
      </c>
      <c r="C242" s="212" t="s">
        <v>523</v>
      </c>
      <c r="D242" s="212" t="str">
        <f t="shared" si="7"/>
        <v>VELEUČILIŠTE U ŠIBENIKU (22824)</v>
      </c>
      <c r="E242" s="212" t="s">
        <v>4014</v>
      </c>
      <c r="F242" s="212" t="s">
        <v>525</v>
      </c>
      <c r="G242" s="213">
        <v>2100673</v>
      </c>
      <c r="H242" s="214" t="s">
        <v>526</v>
      </c>
      <c r="J242" s="204"/>
    </row>
    <row r="243" spans="1:10" ht="15" customHeight="1">
      <c r="A243" s="210">
        <f t="shared" si="6"/>
        <v>240</v>
      </c>
      <c r="B243" s="211">
        <v>42993</v>
      </c>
      <c r="C243" s="212" t="s">
        <v>1775</v>
      </c>
      <c r="D243" s="212" t="str">
        <f t="shared" si="7"/>
        <v>VELEUČILIŠTE U VIROVITICI (42993)</v>
      </c>
      <c r="E243" s="212" t="s">
        <v>527</v>
      </c>
      <c r="F243" s="212" t="s">
        <v>528</v>
      </c>
      <c r="G243" s="213">
        <v>2282208</v>
      </c>
      <c r="H243" s="214" t="s">
        <v>529</v>
      </c>
      <c r="J243" s="204"/>
    </row>
    <row r="244" spans="1:10" ht="15" customHeight="1">
      <c r="A244" s="210">
        <f t="shared" si="6"/>
        <v>241</v>
      </c>
      <c r="B244" s="211">
        <v>22371</v>
      </c>
      <c r="C244" s="212" t="s">
        <v>530</v>
      </c>
      <c r="D244" s="212" t="str">
        <f t="shared" si="7"/>
        <v>VISOKO GOSPODARSKO UČILIŠTE U KRIŽEVCIMA (22371)</v>
      </c>
      <c r="E244" s="212" t="s">
        <v>531</v>
      </c>
      <c r="F244" s="212" t="s">
        <v>532</v>
      </c>
      <c r="G244" s="213">
        <v>1411942</v>
      </c>
      <c r="H244" s="214" t="s">
        <v>533</v>
      </c>
      <c r="J244" s="204"/>
    </row>
    <row r="245" spans="1:10" ht="15" customHeight="1">
      <c r="A245" s="210">
        <f t="shared" si="6"/>
        <v>242</v>
      </c>
      <c r="B245" s="211">
        <v>22832</v>
      </c>
      <c r="C245" s="212" t="s">
        <v>534</v>
      </c>
      <c r="D245" s="212" t="str">
        <f t="shared" si="7"/>
        <v>ZDRAVSTVENO VELEUČILIŠTE (22832)</v>
      </c>
      <c r="E245" s="212" t="s">
        <v>535</v>
      </c>
      <c r="F245" s="212" t="s">
        <v>276</v>
      </c>
      <c r="G245" s="213">
        <v>1274597</v>
      </c>
      <c r="H245" s="214" t="s">
        <v>536</v>
      </c>
      <c r="J245" s="204"/>
    </row>
    <row r="246" spans="1:10" ht="15" customHeight="1">
      <c r="A246" s="210">
        <f t="shared" si="6"/>
        <v>243</v>
      </c>
      <c r="B246" s="211">
        <v>2918</v>
      </c>
      <c r="C246" s="212" t="s">
        <v>4015</v>
      </c>
      <c r="D246" s="212" t="str">
        <f t="shared" si="7"/>
        <v>EKONOMSKI INSTITUT, ZAGREB (2918)</v>
      </c>
      <c r="E246" s="212" t="s">
        <v>4016</v>
      </c>
      <c r="F246" s="212" t="s">
        <v>276</v>
      </c>
      <c r="G246" s="213">
        <v>3219925</v>
      </c>
      <c r="H246" s="214" t="s">
        <v>540</v>
      </c>
      <c r="J246" s="204"/>
    </row>
    <row r="247" spans="1:10" ht="15" customHeight="1">
      <c r="A247" s="210">
        <f t="shared" si="6"/>
        <v>244</v>
      </c>
      <c r="B247" s="211">
        <v>22525</v>
      </c>
      <c r="C247" s="212" t="s">
        <v>568</v>
      </c>
      <c r="D247" s="212" t="str">
        <f t="shared" si="7"/>
        <v>HRVATSKI GEOLOŠKI INSTITUT  (22525)</v>
      </c>
      <c r="E247" s="212" t="s">
        <v>569</v>
      </c>
      <c r="F247" s="212" t="s">
        <v>276</v>
      </c>
      <c r="G247" s="213">
        <v>3219518</v>
      </c>
      <c r="H247" s="214" t="s">
        <v>570</v>
      </c>
      <c r="J247" s="204"/>
    </row>
    <row r="248" spans="1:10" ht="15" customHeight="1">
      <c r="A248" s="210">
        <f t="shared" si="6"/>
        <v>245</v>
      </c>
      <c r="B248" s="211">
        <v>2934</v>
      </c>
      <c r="C248" s="212" t="s">
        <v>541</v>
      </c>
      <c r="D248" s="212" t="str">
        <f t="shared" si="7"/>
        <v>HRVATSKI INSTITUT ZA POVIJEST (2934)</v>
      </c>
      <c r="E248" s="212" t="s">
        <v>542</v>
      </c>
      <c r="F248" s="212" t="s">
        <v>276</v>
      </c>
      <c r="G248" s="213">
        <v>3207153</v>
      </c>
      <c r="H248" s="214" t="s">
        <v>543</v>
      </c>
      <c r="J248" s="204"/>
    </row>
    <row r="249" spans="1:10" ht="15" customHeight="1">
      <c r="A249" s="210">
        <f t="shared" si="6"/>
        <v>246</v>
      </c>
      <c r="B249" s="211">
        <v>2967</v>
      </c>
      <c r="C249" s="212" t="s">
        <v>603</v>
      </c>
      <c r="D249" s="212" t="str">
        <f t="shared" si="7"/>
        <v>HRVATSKI ŠUMARSKI INSTITUT (2967)</v>
      </c>
      <c r="E249" s="212" t="s">
        <v>604</v>
      </c>
      <c r="F249" s="212" t="s">
        <v>605</v>
      </c>
      <c r="G249" s="213">
        <v>3115879</v>
      </c>
      <c r="H249" s="214" t="s">
        <v>606</v>
      </c>
      <c r="J249" s="204"/>
    </row>
    <row r="250" spans="1:10" ht="15" customHeight="1">
      <c r="A250" s="210">
        <f t="shared" si="6"/>
        <v>247</v>
      </c>
      <c r="B250" s="211">
        <v>2983</v>
      </c>
      <c r="C250" s="212" t="s">
        <v>544</v>
      </c>
      <c r="D250" s="212" t="str">
        <f t="shared" si="7"/>
        <v>HRVATSKI VETERINARSKI INSTITUT (2983)</v>
      </c>
      <c r="E250" s="212" t="s">
        <v>545</v>
      </c>
      <c r="F250" s="212" t="s">
        <v>276</v>
      </c>
      <c r="G250" s="213">
        <v>3274098</v>
      </c>
      <c r="H250" s="214" t="s">
        <v>546</v>
      </c>
      <c r="J250" s="204"/>
    </row>
    <row r="251" spans="1:10" ht="15" customHeight="1">
      <c r="A251" s="210">
        <f t="shared" ref="A251:A314" si="8">+A250+1</f>
        <v>248</v>
      </c>
      <c r="B251" s="211">
        <v>3105</v>
      </c>
      <c r="C251" s="212" t="s">
        <v>547</v>
      </c>
      <c r="D251" s="212" t="str">
        <f t="shared" si="7"/>
        <v>INSTITUT DRUŠTVENIH ZNANOSTI IVO PILAR (3105)</v>
      </c>
      <c r="E251" s="212" t="s">
        <v>548</v>
      </c>
      <c r="F251" s="212" t="s">
        <v>276</v>
      </c>
      <c r="G251" s="213">
        <v>3793028</v>
      </c>
      <c r="H251" s="214" t="s">
        <v>549</v>
      </c>
      <c r="J251" s="204"/>
    </row>
    <row r="252" spans="1:10" ht="15" customHeight="1">
      <c r="A252" s="210">
        <f t="shared" si="8"/>
        <v>249</v>
      </c>
      <c r="B252" s="211">
        <v>3041</v>
      </c>
      <c r="C252" s="212" t="s">
        <v>550</v>
      </c>
      <c r="D252" s="212" t="str">
        <f t="shared" si="7"/>
        <v>INSTITUT RUĐER BOŠKOVIĆ (3041)</v>
      </c>
      <c r="E252" s="212" t="s">
        <v>551</v>
      </c>
      <c r="F252" s="212" t="s">
        <v>276</v>
      </c>
      <c r="G252" s="213">
        <v>3270289</v>
      </c>
      <c r="H252" s="214" t="s">
        <v>552</v>
      </c>
      <c r="J252" s="204"/>
    </row>
    <row r="253" spans="1:10" ht="15" customHeight="1">
      <c r="A253" s="210">
        <f t="shared" si="8"/>
        <v>250</v>
      </c>
      <c r="B253" s="211">
        <v>3113</v>
      </c>
      <c r="C253" s="212" t="s">
        <v>553</v>
      </c>
      <c r="D253" s="212" t="str">
        <f t="shared" si="7"/>
        <v>INSTITUT ZA ANTROPOLOGIJU (3113)</v>
      </c>
      <c r="E253" s="212" t="s">
        <v>554</v>
      </c>
      <c r="F253" s="212" t="s">
        <v>276</v>
      </c>
      <c r="G253" s="213">
        <v>3817121</v>
      </c>
      <c r="H253" s="214" t="s">
        <v>555</v>
      </c>
      <c r="J253" s="204"/>
    </row>
    <row r="254" spans="1:10" ht="15" customHeight="1">
      <c r="A254" s="210">
        <f t="shared" si="8"/>
        <v>251</v>
      </c>
      <c r="B254" s="211">
        <v>3121</v>
      </c>
      <c r="C254" s="212" t="s">
        <v>556</v>
      </c>
      <c r="D254" s="212" t="str">
        <f t="shared" si="7"/>
        <v>INSTITUT ZA ARHEOLOGIJU (3121)</v>
      </c>
      <c r="E254" s="212" t="s">
        <v>554</v>
      </c>
      <c r="F254" s="212" t="s">
        <v>276</v>
      </c>
      <c r="G254" s="213">
        <v>3937658</v>
      </c>
      <c r="H254" s="214" t="s">
        <v>557</v>
      </c>
      <c r="J254" s="204"/>
    </row>
    <row r="255" spans="1:10" ht="15" customHeight="1">
      <c r="A255" s="210">
        <f t="shared" si="8"/>
        <v>252</v>
      </c>
      <c r="B255" s="211">
        <v>3050</v>
      </c>
      <c r="C255" s="212" t="s">
        <v>4017</v>
      </c>
      <c r="D255" s="212" t="str">
        <f t="shared" si="7"/>
        <v>INSTITUT ZA DRUŠTVENA ISTRAŽIVANJA U ZAGREBU (3050)</v>
      </c>
      <c r="E255" s="212" t="s">
        <v>559</v>
      </c>
      <c r="F255" s="212" t="s">
        <v>276</v>
      </c>
      <c r="G255" s="213">
        <v>3205118</v>
      </c>
      <c r="H255" s="214" t="s">
        <v>560</v>
      </c>
      <c r="J255" s="204"/>
    </row>
    <row r="256" spans="1:10" ht="15" customHeight="1">
      <c r="A256" s="210">
        <f t="shared" si="8"/>
        <v>253</v>
      </c>
      <c r="B256" s="211">
        <v>3084</v>
      </c>
      <c r="C256" s="212" t="s">
        <v>561</v>
      </c>
      <c r="D256" s="212" t="str">
        <f t="shared" si="7"/>
        <v>INSTITUT ZA ETNOLOGIJU I FOLKLORISTIKU (3084)</v>
      </c>
      <c r="E256" s="212" t="s">
        <v>562</v>
      </c>
      <c r="F256" s="212" t="s">
        <v>276</v>
      </c>
      <c r="G256" s="213">
        <v>3724042</v>
      </c>
      <c r="H256" s="214" t="s">
        <v>563</v>
      </c>
      <c r="J256" s="204"/>
    </row>
    <row r="257" spans="1:10" ht="15" customHeight="1">
      <c r="A257" s="210">
        <f t="shared" si="8"/>
        <v>254</v>
      </c>
      <c r="B257" s="211">
        <v>3092</v>
      </c>
      <c r="C257" s="212" t="s">
        <v>564</v>
      </c>
      <c r="D257" s="212" t="str">
        <f t="shared" si="7"/>
        <v>INSTITUT ZA FILOZOFIJU (3092)</v>
      </c>
      <c r="E257" s="212" t="s">
        <v>1733</v>
      </c>
      <c r="F257" s="212" t="s">
        <v>276</v>
      </c>
      <c r="G257" s="213">
        <v>3772047</v>
      </c>
      <c r="H257" s="214" t="s">
        <v>565</v>
      </c>
      <c r="J257" s="204"/>
    </row>
    <row r="258" spans="1:10" ht="15" customHeight="1">
      <c r="A258" s="210">
        <f t="shared" si="8"/>
        <v>255</v>
      </c>
      <c r="B258" s="211">
        <v>2975</v>
      </c>
      <c r="C258" s="212" t="s">
        <v>566</v>
      </c>
      <c r="D258" s="212" t="str">
        <f t="shared" si="7"/>
        <v>INSTITUT ZA FIZIKU (2975)</v>
      </c>
      <c r="E258" s="212" t="s">
        <v>551</v>
      </c>
      <c r="F258" s="212" t="s">
        <v>276</v>
      </c>
      <c r="G258" s="213">
        <v>3270424</v>
      </c>
      <c r="H258" s="214" t="s">
        <v>567</v>
      </c>
      <c r="J258" s="204"/>
    </row>
    <row r="259" spans="1:10" ht="15" customHeight="1">
      <c r="A259" s="210">
        <f t="shared" si="8"/>
        <v>256</v>
      </c>
      <c r="B259" s="211">
        <v>21061</v>
      </c>
      <c r="C259" s="212" t="s">
        <v>571</v>
      </c>
      <c r="D259" s="212" t="str">
        <f t="shared" si="7"/>
        <v>INSTITUT ZA HRVATSKI JEZIK I JEZIKOSLOVLJE (21061)</v>
      </c>
      <c r="E259" s="212" t="s">
        <v>572</v>
      </c>
      <c r="F259" s="212" t="s">
        <v>276</v>
      </c>
      <c r="G259" s="213">
        <v>1259571</v>
      </c>
      <c r="H259" s="214" t="s">
        <v>573</v>
      </c>
      <c r="J259" s="204"/>
    </row>
    <row r="260" spans="1:10" ht="15" customHeight="1">
      <c r="A260" s="210">
        <f t="shared" si="8"/>
        <v>257</v>
      </c>
      <c r="B260" s="211">
        <v>3025</v>
      </c>
      <c r="C260" s="212" t="s">
        <v>574</v>
      </c>
      <c r="D260" s="212" t="str">
        <f t="shared" ref="D260:D323" si="9">C260&amp;" ("&amp;B260&amp;")"</f>
        <v>INSTITUT ZA JADRANSKE KULTURE I MELIORACIJU KRŠA (3025)</v>
      </c>
      <c r="E260" s="212" t="s">
        <v>575</v>
      </c>
      <c r="F260" s="212" t="s">
        <v>361</v>
      </c>
      <c r="G260" s="213">
        <v>3140792</v>
      </c>
      <c r="H260" s="214" t="s">
        <v>576</v>
      </c>
      <c r="J260" s="204"/>
    </row>
    <row r="261" spans="1:10" ht="15" customHeight="1">
      <c r="A261" s="210">
        <f t="shared" si="8"/>
        <v>258</v>
      </c>
      <c r="B261" s="211">
        <v>23286</v>
      </c>
      <c r="C261" s="212" t="s">
        <v>577</v>
      </c>
      <c r="D261" s="212" t="str">
        <f t="shared" si="9"/>
        <v>INSTITUT ZA JAVNE FINANCIJE (23286)</v>
      </c>
      <c r="E261" s="212" t="s">
        <v>578</v>
      </c>
      <c r="F261" s="212" t="s">
        <v>276</v>
      </c>
      <c r="G261" s="213">
        <v>3226344</v>
      </c>
      <c r="H261" s="214" t="s">
        <v>579</v>
      </c>
      <c r="J261" s="204"/>
    </row>
    <row r="262" spans="1:10" ht="15" customHeight="1">
      <c r="A262" s="210">
        <f t="shared" si="8"/>
        <v>259</v>
      </c>
      <c r="B262" s="211">
        <v>2959</v>
      </c>
      <c r="C262" s="212" t="s">
        <v>580</v>
      </c>
      <c r="D262" s="212" t="str">
        <f t="shared" si="9"/>
        <v>INSTITUT ZA MEDICINSKA ISTRAŽIVANJA I MEDICINU RADA (2959)</v>
      </c>
      <c r="E262" s="212" t="s">
        <v>581</v>
      </c>
      <c r="F262" s="212" t="s">
        <v>276</v>
      </c>
      <c r="G262" s="213">
        <v>3270475</v>
      </c>
      <c r="H262" s="214" t="s">
        <v>582</v>
      </c>
      <c r="J262" s="204"/>
    </row>
    <row r="263" spans="1:10" ht="15" customHeight="1">
      <c r="A263" s="210">
        <f t="shared" si="8"/>
        <v>260</v>
      </c>
      <c r="B263" s="211">
        <v>3009</v>
      </c>
      <c r="C263" s="212" t="s">
        <v>585</v>
      </c>
      <c r="D263" s="212" t="str">
        <f t="shared" si="9"/>
        <v>INSTITUT ZA MIGRACIJE I NARODNOSTI (3009)</v>
      </c>
      <c r="E263" s="212" t="s">
        <v>586</v>
      </c>
      <c r="F263" s="212" t="s">
        <v>276</v>
      </c>
      <c r="G263" s="213">
        <v>3287572</v>
      </c>
      <c r="H263" s="214" t="s">
        <v>587</v>
      </c>
      <c r="J263" s="204"/>
    </row>
    <row r="264" spans="1:10" ht="15" customHeight="1">
      <c r="A264" s="210">
        <f t="shared" si="8"/>
        <v>261</v>
      </c>
      <c r="B264" s="211">
        <v>2900</v>
      </c>
      <c r="C264" s="212" t="s">
        <v>588</v>
      </c>
      <c r="D264" s="212" t="str">
        <f t="shared" si="9"/>
        <v>INSTITUT ZA OCEANOGRAFIJU I RIBARSTVO (2900)</v>
      </c>
      <c r="E264" s="212" t="s">
        <v>4018</v>
      </c>
      <c r="F264" s="212" t="s">
        <v>361</v>
      </c>
      <c r="G264" s="213">
        <v>3118355</v>
      </c>
      <c r="H264" s="214" t="s">
        <v>589</v>
      </c>
      <c r="J264" s="204"/>
    </row>
    <row r="265" spans="1:10" ht="15" customHeight="1">
      <c r="A265" s="210">
        <f t="shared" si="8"/>
        <v>262</v>
      </c>
      <c r="B265" s="211">
        <v>3076</v>
      </c>
      <c r="C265" s="212" t="s">
        <v>590</v>
      </c>
      <c r="D265" s="212" t="str">
        <f t="shared" si="9"/>
        <v>INSTITUT ZA POLJOPRIVREDU I TURIZAM (3076)</v>
      </c>
      <c r="E265" s="212" t="s">
        <v>591</v>
      </c>
      <c r="F265" s="212" t="s">
        <v>592</v>
      </c>
      <c r="G265" s="213">
        <v>3421031</v>
      </c>
      <c r="H265" s="214" t="s">
        <v>593</v>
      </c>
      <c r="J265" s="204"/>
    </row>
    <row r="266" spans="1:10" ht="15" customHeight="1">
      <c r="A266" s="210">
        <f t="shared" si="8"/>
        <v>263</v>
      </c>
      <c r="B266" s="211">
        <v>2942</v>
      </c>
      <c r="C266" s="212" t="s">
        <v>594</v>
      </c>
      <c r="D266" s="212" t="str">
        <f t="shared" si="9"/>
        <v>INSTITUT ZA POVIJEST UMJETNOSTI (2942)</v>
      </c>
      <c r="E266" s="212" t="s">
        <v>595</v>
      </c>
      <c r="F266" s="212" t="s">
        <v>276</v>
      </c>
      <c r="G266" s="213">
        <v>1339958</v>
      </c>
      <c r="H266" s="214" t="s">
        <v>596</v>
      </c>
      <c r="J266" s="204"/>
    </row>
    <row r="267" spans="1:10" ht="15" customHeight="1">
      <c r="A267" s="210">
        <f t="shared" si="8"/>
        <v>264</v>
      </c>
      <c r="B267" s="211">
        <v>22621</v>
      </c>
      <c r="C267" s="212" t="s">
        <v>583</v>
      </c>
      <c r="D267" s="212" t="str">
        <f t="shared" si="9"/>
        <v>INSTITUT ZA RAZVOJ I MEĐUNARODNE ODNOSE (22621)</v>
      </c>
      <c r="E267" s="212" t="s">
        <v>1734</v>
      </c>
      <c r="F267" s="212" t="s">
        <v>276</v>
      </c>
      <c r="G267" s="213">
        <v>3205177</v>
      </c>
      <c r="H267" s="214" t="s">
        <v>584</v>
      </c>
      <c r="J267" s="204"/>
    </row>
    <row r="268" spans="1:10" ht="15" customHeight="1">
      <c r="A268" s="210">
        <f t="shared" si="8"/>
        <v>265</v>
      </c>
      <c r="B268" s="211">
        <v>3068</v>
      </c>
      <c r="C268" s="212" t="s">
        <v>597</v>
      </c>
      <c r="D268" s="212" t="str">
        <f t="shared" si="9"/>
        <v>INSTITUT ZA TURIZAM (3068)</v>
      </c>
      <c r="E268" s="212" t="s">
        <v>598</v>
      </c>
      <c r="F268" s="212" t="s">
        <v>276</v>
      </c>
      <c r="G268" s="213">
        <v>3208001</v>
      </c>
      <c r="H268" s="214" t="s">
        <v>599</v>
      </c>
      <c r="J268" s="204"/>
    </row>
    <row r="269" spans="1:10" ht="15" customHeight="1">
      <c r="A269" s="210">
        <f t="shared" si="8"/>
        <v>266</v>
      </c>
      <c r="B269" s="211">
        <v>2991</v>
      </c>
      <c r="C269" s="212" t="s">
        <v>1736</v>
      </c>
      <c r="D269" s="212" t="str">
        <f t="shared" si="9"/>
        <v>POLJOPRIVREDNI INSTITUT OSIJEK (2991)</v>
      </c>
      <c r="E269" s="212" t="s">
        <v>1737</v>
      </c>
      <c r="F269" s="212" t="s">
        <v>279</v>
      </c>
      <c r="G269" s="213">
        <v>3058239</v>
      </c>
      <c r="H269" s="214" t="s">
        <v>1738</v>
      </c>
      <c r="J269" s="204"/>
    </row>
    <row r="270" spans="1:10" ht="15" customHeight="1">
      <c r="A270" s="210">
        <f t="shared" si="8"/>
        <v>267</v>
      </c>
      <c r="B270" s="211">
        <v>21070</v>
      </c>
      <c r="C270" s="212" t="s">
        <v>600</v>
      </c>
      <c r="D270" s="212" t="str">
        <f t="shared" si="9"/>
        <v>STAROSLAVENSKI INSTITUT (21070)</v>
      </c>
      <c r="E270" s="212" t="s">
        <v>601</v>
      </c>
      <c r="F270" s="212" t="s">
        <v>276</v>
      </c>
      <c r="G270" s="213">
        <v>1259563</v>
      </c>
      <c r="H270" s="214" t="s">
        <v>602</v>
      </c>
      <c r="J270" s="204"/>
    </row>
    <row r="271" spans="1:10" ht="15" customHeight="1">
      <c r="A271" s="210">
        <f t="shared" si="8"/>
        <v>268</v>
      </c>
      <c r="B271" s="211">
        <v>6179</v>
      </c>
      <c r="C271" s="212" t="s">
        <v>608</v>
      </c>
      <c r="D271" s="212" t="str">
        <f t="shared" si="9"/>
        <v>DRŽAVNI ZAVOD ZA INTELEKTUALNO VLASNIŠTVO (6179)</v>
      </c>
      <c r="E271" s="212" t="s">
        <v>609</v>
      </c>
      <c r="F271" s="212" t="s">
        <v>276</v>
      </c>
      <c r="G271" s="213">
        <v>3899772</v>
      </c>
      <c r="H271" s="214" t="s">
        <v>610</v>
      </c>
      <c r="J271" s="204"/>
    </row>
    <row r="272" spans="1:10" ht="15" customHeight="1">
      <c r="A272" s="210">
        <f t="shared" si="8"/>
        <v>269</v>
      </c>
      <c r="B272" s="211">
        <v>43335</v>
      </c>
      <c r="C272" s="212" t="s">
        <v>629</v>
      </c>
      <c r="D272" s="212" t="str">
        <f t="shared" si="9"/>
        <v>AGENCIJA ZA MOBILNOST I PROGRAME EUROPSKE UNIJE (43335)</v>
      </c>
      <c r="E272" s="221" t="s">
        <v>618</v>
      </c>
      <c r="F272" s="212" t="s">
        <v>276</v>
      </c>
      <c r="G272" s="220">
        <v>2298007</v>
      </c>
      <c r="H272" s="214" t="s">
        <v>630</v>
      </c>
      <c r="J272" s="204"/>
    </row>
    <row r="273" spans="1:10" ht="15" customHeight="1">
      <c r="A273" s="210">
        <f t="shared" si="8"/>
        <v>270</v>
      </c>
      <c r="B273" s="211">
        <v>23962</v>
      </c>
      <c r="C273" s="212" t="s">
        <v>622</v>
      </c>
      <c r="D273" s="212" t="str">
        <f t="shared" si="9"/>
        <v>AGENCIJA ZA ODGOJ I OBRAZOVANJE (23962)</v>
      </c>
      <c r="E273" s="212" t="s">
        <v>625</v>
      </c>
      <c r="F273" s="212" t="s">
        <v>276</v>
      </c>
      <c r="G273" s="213">
        <v>1778129</v>
      </c>
      <c r="H273" s="214" t="s">
        <v>623</v>
      </c>
      <c r="J273" s="204"/>
    </row>
    <row r="274" spans="1:10" ht="15" customHeight="1">
      <c r="A274" s="210">
        <f t="shared" si="8"/>
        <v>271</v>
      </c>
      <c r="B274" s="211">
        <v>46173</v>
      </c>
      <c r="C274" s="212" t="s">
        <v>631</v>
      </c>
      <c r="D274" s="212" t="str">
        <f t="shared" si="9"/>
        <v>AGENCIJA ZA STRUKOVNO OBRAZOVANJE I OBRAZOVANJE ODRASLIH (46173)</v>
      </c>
      <c r="E274" s="221" t="s">
        <v>1776</v>
      </c>
      <c r="F274" s="212" t="s">
        <v>276</v>
      </c>
      <c r="G274" s="220">
        <v>2650029</v>
      </c>
      <c r="H274" s="214" t="s">
        <v>632</v>
      </c>
      <c r="J274" s="204"/>
    </row>
    <row r="275" spans="1:10" ht="15" customHeight="1">
      <c r="A275" s="210">
        <f t="shared" si="8"/>
        <v>272</v>
      </c>
      <c r="B275" s="211">
        <v>38487</v>
      </c>
      <c r="C275" s="212" t="s">
        <v>624</v>
      </c>
      <c r="D275" s="212" t="str">
        <f t="shared" si="9"/>
        <v>AGENCIJA ZA ZNANOST I VISOKO OBRAZOVANJE (38487)</v>
      </c>
      <c r="E275" s="221" t="s">
        <v>625</v>
      </c>
      <c r="F275" s="212" t="s">
        <v>276</v>
      </c>
      <c r="G275" s="220">
        <v>1922548</v>
      </c>
      <c r="H275" s="214" t="s">
        <v>626</v>
      </c>
      <c r="J275" s="204"/>
    </row>
    <row r="276" spans="1:10" ht="15" customHeight="1">
      <c r="A276" s="210">
        <f t="shared" si="8"/>
        <v>273</v>
      </c>
      <c r="B276" s="211">
        <v>21852</v>
      </c>
      <c r="C276" s="212" t="s">
        <v>614</v>
      </c>
      <c r="D276" s="212" t="str">
        <f t="shared" si="9"/>
        <v>HRVATSKA AKADEMSKA I ISTRAŽIVAČKA MREŽA - CARNET (21852)</v>
      </c>
      <c r="E276" s="221" t="s">
        <v>615</v>
      </c>
      <c r="F276" s="212" t="s">
        <v>276</v>
      </c>
      <c r="G276" s="220">
        <v>1147820</v>
      </c>
      <c r="H276" s="214" t="s">
        <v>616</v>
      </c>
      <c r="J276" s="204"/>
    </row>
    <row r="277" spans="1:10" ht="15" customHeight="1">
      <c r="A277" s="210">
        <f t="shared" si="8"/>
        <v>274</v>
      </c>
      <c r="B277" s="211">
        <v>52209</v>
      </c>
      <c r="C277" s="212" t="s">
        <v>3539</v>
      </c>
      <c r="D277" s="212" t="str">
        <f t="shared" si="9"/>
        <v>HRVATSKA ZAKLADA ZA ZNANOST (52209)</v>
      </c>
      <c r="E277" s="221" t="s">
        <v>3540</v>
      </c>
      <c r="F277" s="212" t="s">
        <v>276</v>
      </c>
      <c r="G277" s="220">
        <v>1626841</v>
      </c>
      <c r="H277" s="214">
        <v>88776522763</v>
      </c>
      <c r="J277" s="204"/>
    </row>
    <row r="278" spans="1:10" ht="15" customHeight="1">
      <c r="A278" s="210">
        <f t="shared" si="8"/>
        <v>275</v>
      </c>
      <c r="B278" s="211">
        <v>21869</v>
      </c>
      <c r="C278" s="212" t="s">
        <v>617</v>
      </c>
      <c r="D278" s="212" t="str">
        <f t="shared" si="9"/>
        <v>LEKSIKOGRAFSKI ZAVOD MIROSLAV KRLEŽA (21869)</v>
      </c>
      <c r="E278" s="221" t="s">
        <v>618</v>
      </c>
      <c r="F278" s="212" t="s">
        <v>276</v>
      </c>
      <c r="G278" s="220">
        <v>3211622</v>
      </c>
      <c r="H278" s="214" t="s">
        <v>619</v>
      </c>
      <c r="J278" s="204"/>
    </row>
    <row r="279" spans="1:10" ht="15" customHeight="1">
      <c r="A279" s="210">
        <f t="shared" si="8"/>
        <v>276</v>
      </c>
      <c r="B279" s="211">
        <v>21836</v>
      </c>
      <c r="C279" s="212" t="s">
        <v>611</v>
      </c>
      <c r="D279" s="212" t="str">
        <f t="shared" si="9"/>
        <v>NACIONALNA I SVEUČILIŠNA KNJIŽNICA U ZAGREBU (21836)</v>
      </c>
      <c r="E279" s="221" t="s">
        <v>4019</v>
      </c>
      <c r="F279" s="212" t="s">
        <v>276</v>
      </c>
      <c r="G279" s="220">
        <v>3205363</v>
      </c>
      <c r="H279" s="214" t="s">
        <v>613</v>
      </c>
      <c r="J279" s="204"/>
    </row>
    <row r="280" spans="1:10" ht="15" customHeight="1">
      <c r="A280" s="210">
        <f t="shared" si="8"/>
        <v>277</v>
      </c>
      <c r="B280" s="211">
        <v>40883</v>
      </c>
      <c r="C280" s="212" t="s">
        <v>627</v>
      </c>
      <c r="D280" s="212" t="str">
        <f t="shared" si="9"/>
        <v>NACIONALNI CENTAR ZA VANJSKO VREDNOVANJE OBRAZOVANJA (40883)</v>
      </c>
      <c r="E280" s="221" t="s">
        <v>1777</v>
      </c>
      <c r="F280" s="212" t="s">
        <v>1778</v>
      </c>
      <c r="G280" s="220">
        <v>1943430</v>
      </c>
      <c r="H280" s="214" t="s">
        <v>628</v>
      </c>
      <c r="J280" s="204"/>
    </row>
    <row r="281" spans="1:10" ht="15" customHeight="1">
      <c r="A281" s="210">
        <f t="shared" si="8"/>
        <v>278</v>
      </c>
      <c r="B281" s="211">
        <v>23665</v>
      </c>
      <c r="C281" s="212" t="s">
        <v>620</v>
      </c>
      <c r="D281" s="212" t="str">
        <f t="shared" si="9"/>
        <v>SVEUČILIŠTE U ZAGREBU - SVEUČILIŠNI RAČUNSKI CENTAR - SRCE (23665)</v>
      </c>
      <c r="E281" s="221" t="s">
        <v>615</v>
      </c>
      <c r="F281" s="212" t="s">
        <v>276</v>
      </c>
      <c r="G281" s="213">
        <v>3283020</v>
      </c>
      <c r="H281" s="214" t="s">
        <v>621</v>
      </c>
      <c r="J281" s="204"/>
    </row>
    <row r="282" spans="1:10" s="204" customFormat="1" ht="15" customHeight="1">
      <c r="A282" s="199">
        <f t="shared" si="8"/>
        <v>279</v>
      </c>
      <c r="B282" s="206">
        <v>47096</v>
      </c>
      <c r="C282" s="207" t="s">
        <v>4020</v>
      </c>
      <c r="D282" s="212" t="str">
        <f t="shared" si="9"/>
        <v>MINISTARSTVO RADA, MIROVINSKOG SUSTAVA, OBITELJI I SOCIJALNE POLITIKE (47096)</v>
      </c>
      <c r="E282" s="207" t="s">
        <v>609</v>
      </c>
      <c r="F282" s="207" t="s">
        <v>276</v>
      </c>
      <c r="G282" s="208">
        <v>2830949</v>
      </c>
      <c r="H282" s="209" t="s">
        <v>4021</v>
      </c>
    </row>
    <row r="283" spans="1:10" s="204" customFormat="1" ht="15" customHeight="1">
      <c r="A283" s="210">
        <f t="shared" si="8"/>
        <v>280</v>
      </c>
      <c r="B283" s="211">
        <v>25843</v>
      </c>
      <c r="C283" s="212" t="s">
        <v>4022</v>
      </c>
      <c r="D283" s="212" t="str">
        <f t="shared" si="9"/>
        <v>HRVATSKI ZAVOD ZA ZAPOŠLJAVANJE* (25843)</v>
      </c>
      <c r="E283" s="212" t="s">
        <v>4023</v>
      </c>
      <c r="F283" s="212" t="s">
        <v>276</v>
      </c>
      <c r="G283" s="213">
        <v>1369741</v>
      </c>
      <c r="H283" s="214" t="s">
        <v>4024</v>
      </c>
    </row>
    <row r="284" spans="1:10" ht="24">
      <c r="A284" s="210">
        <f t="shared" si="8"/>
        <v>281</v>
      </c>
      <c r="B284" s="211">
        <v>48242</v>
      </c>
      <c r="C284" s="212" t="s">
        <v>4025</v>
      </c>
      <c r="D284" s="212" t="str">
        <f t="shared" si="9"/>
        <v>ZAVOD ZA VJEŠTAČENJE, PROFESIONALNU REHABILITACIJU I ZAPOŠLJAVANJE OSOBA S INVALIDITETOM (48242)</v>
      </c>
      <c r="E284" s="212" t="s">
        <v>4026</v>
      </c>
      <c r="F284" s="212" t="s">
        <v>276</v>
      </c>
      <c r="G284" s="213">
        <v>4166159</v>
      </c>
      <c r="H284" s="214" t="s">
        <v>4027</v>
      </c>
      <c r="J284" s="204"/>
    </row>
    <row r="285" spans="1:10" ht="15" customHeight="1">
      <c r="A285" s="210">
        <f t="shared" si="8"/>
        <v>282</v>
      </c>
      <c r="B285" s="211">
        <v>24168</v>
      </c>
      <c r="C285" s="212" t="s">
        <v>4028</v>
      </c>
      <c r="D285" s="212" t="str">
        <f t="shared" si="9"/>
        <v>SREDIŠNJI REGISTAR OSIGURANIKA (24168)</v>
      </c>
      <c r="E285" s="212" t="s">
        <v>4029</v>
      </c>
      <c r="F285" s="212" t="s">
        <v>276</v>
      </c>
      <c r="G285" s="213">
        <v>1469819</v>
      </c>
      <c r="H285" s="209" t="s">
        <v>4030</v>
      </c>
      <c r="J285" s="204"/>
    </row>
    <row r="286" spans="1:10" ht="15" customHeight="1">
      <c r="A286" s="210">
        <f t="shared" si="8"/>
        <v>283</v>
      </c>
      <c r="B286" s="211">
        <v>44508</v>
      </c>
      <c r="C286" s="212" t="s">
        <v>4031</v>
      </c>
      <c r="D286" s="212" t="str">
        <f t="shared" si="9"/>
        <v>AGENCIJA ZA OSIGURANJE RADNIČKIH TRAŽBINA (44508)</v>
      </c>
      <c r="E286" s="212" t="s">
        <v>4032</v>
      </c>
      <c r="F286" s="212" t="s">
        <v>276</v>
      </c>
      <c r="G286" s="213">
        <v>2456257</v>
      </c>
      <c r="H286" s="214" t="s">
        <v>4033</v>
      </c>
      <c r="J286" s="204"/>
    </row>
    <row r="287" spans="1:10" ht="15" customHeight="1">
      <c r="A287" s="210">
        <f t="shared" si="8"/>
        <v>284</v>
      </c>
      <c r="B287" s="211">
        <v>33634</v>
      </c>
      <c r="C287" s="229" t="s">
        <v>4034</v>
      </c>
      <c r="D287" s="212" t="str">
        <f t="shared" si="9"/>
        <v>CENTAR ZA PROFESIONALNU REHABILITACIJU OSIJEK (33634)</v>
      </c>
      <c r="E287" s="229" t="s">
        <v>4035</v>
      </c>
      <c r="F287" s="229" t="s">
        <v>279</v>
      </c>
      <c r="G287" s="224" t="s">
        <v>4036</v>
      </c>
      <c r="H287" s="230">
        <v>57200304958</v>
      </c>
      <c r="J287" s="204"/>
    </row>
    <row r="288" spans="1:10" ht="15" customHeight="1">
      <c r="A288" s="210">
        <f t="shared" si="8"/>
        <v>285</v>
      </c>
      <c r="B288" s="211">
        <v>49059</v>
      </c>
      <c r="C288" s="229" t="s">
        <v>4037</v>
      </c>
      <c r="D288" s="212" t="str">
        <f t="shared" si="9"/>
        <v>CENTAR ZA PROFESIONALNU REHABILITACIJU RIJEKA (49059)</v>
      </c>
      <c r="E288" s="229" t="s">
        <v>4038</v>
      </c>
      <c r="F288" s="229" t="s">
        <v>321</v>
      </c>
      <c r="G288" s="231" t="s">
        <v>4039</v>
      </c>
      <c r="H288" s="230">
        <v>99737296287</v>
      </c>
      <c r="J288" s="204"/>
    </row>
    <row r="289" spans="1:10" ht="15" customHeight="1">
      <c r="A289" s="210">
        <f t="shared" si="8"/>
        <v>286</v>
      </c>
      <c r="B289" s="211">
        <v>49729</v>
      </c>
      <c r="C289" s="229" t="s">
        <v>4040</v>
      </c>
      <c r="D289" s="212" t="str">
        <f t="shared" si="9"/>
        <v>CENTAR ZA PROFESIONALNU REHABILITACIJU SPLIT (49729)</v>
      </c>
      <c r="E289" s="229" t="s">
        <v>4041</v>
      </c>
      <c r="F289" s="229" t="s">
        <v>361</v>
      </c>
      <c r="G289" s="224" t="s">
        <v>4042</v>
      </c>
      <c r="H289" s="230">
        <v>60142045282</v>
      </c>
      <c r="J289" s="204"/>
    </row>
    <row r="290" spans="1:10" ht="15" customHeight="1">
      <c r="A290" s="210">
        <f t="shared" si="8"/>
        <v>287</v>
      </c>
      <c r="B290" s="211">
        <v>48865</v>
      </c>
      <c r="C290" s="229" t="s">
        <v>4043</v>
      </c>
      <c r="D290" s="212" t="str">
        <f t="shared" si="9"/>
        <v>CENTAR ZA PROFESIONALNU REHABILITACIJU ZAGREB (48865)</v>
      </c>
      <c r="E290" s="229" t="s">
        <v>4044</v>
      </c>
      <c r="F290" s="229" t="s">
        <v>276</v>
      </c>
      <c r="G290" s="224" t="s">
        <v>4045</v>
      </c>
      <c r="H290" s="230">
        <v>69410598395</v>
      </c>
      <c r="J290" s="204"/>
    </row>
    <row r="291" spans="1:10" ht="15" customHeight="1">
      <c r="A291" s="210">
        <f t="shared" si="8"/>
        <v>288</v>
      </c>
      <c r="B291" s="211">
        <v>7333</v>
      </c>
      <c r="C291" s="212" t="s">
        <v>4046</v>
      </c>
      <c r="D291" s="212" t="str">
        <f t="shared" si="9"/>
        <v>CENTAR RUDOLF STEINER DARUVAR (7333)</v>
      </c>
      <c r="E291" s="212" t="s">
        <v>4047</v>
      </c>
      <c r="F291" s="212" t="s">
        <v>4048</v>
      </c>
      <c r="G291" s="213">
        <v>3099598</v>
      </c>
      <c r="H291" s="214" t="s">
        <v>4049</v>
      </c>
      <c r="J291" s="204"/>
    </row>
    <row r="292" spans="1:10" ht="15" customHeight="1">
      <c r="A292" s="210">
        <f t="shared" si="8"/>
        <v>289</v>
      </c>
      <c r="B292" s="211">
        <v>7472</v>
      </c>
      <c r="C292" s="212" t="s">
        <v>4050</v>
      </c>
      <c r="D292" s="212" t="str">
        <f t="shared" si="9"/>
        <v>CENTAR ZA ODGOJ I OBRAZOVANJE DUBRAVA  (7472)</v>
      </c>
      <c r="E292" s="212" t="s">
        <v>4051</v>
      </c>
      <c r="F292" s="212" t="s">
        <v>276</v>
      </c>
      <c r="G292" s="213">
        <v>3217191</v>
      </c>
      <c r="H292" s="214" t="s">
        <v>4052</v>
      </c>
      <c r="J292" s="204"/>
    </row>
    <row r="293" spans="1:10" ht="15" customHeight="1">
      <c r="A293" s="210">
        <f t="shared" si="8"/>
        <v>290</v>
      </c>
      <c r="B293" s="211">
        <v>7405</v>
      </c>
      <c r="C293" s="212" t="s">
        <v>4053</v>
      </c>
      <c r="D293" s="212" t="str">
        <f t="shared" si="9"/>
        <v>CENTAR ZA ODGOJ I OBRAZOVANJE JURAJ BONAČI (7405)</v>
      </c>
      <c r="E293" s="212" t="s">
        <v>4054</v>
      </c>
      <c r="F293" s="212" t="s">
        <v>361</v>
      </c>
      <c r="G293" s="213">
        <v>3133737</v>
      </c>
      <c r="H293" s="214" t="s">
        <v>4055</v>
      </c>
      <c r="J293" s="204"/>
    </row>
    <row r="294" spans="1:10" ht="15" customHeight="1">
      <c r="A294" s="210">
        <f t="shared" si="8"/>
        <v>291</v>
      </c>
      <c r="B294" s="211">
        <v>7456</v>
      </c>
      <c r="C294" s="212" t="s">
        <v>4056</v>
      </c>
      <c r="D294" s="212" t="str">
        <f t="shared" si="9"/>
        <v>CENTAR ZA ODGOJ I OBRAZOVANJE LUG (7456)</v>
      </c>
      <c r="E294" s="212" t="s">
        <v>4057</v>
      </c>
      <c r="F294" s="212" t="s">
        <v>4058</v>
      </c>
      <c r="G294" s="213">
        <v>3102947</v>
      </c>
      <c r="H294" s="214" t="s">
        <v>4059</v>
      </c>
      <c r="J294" s="204"/>
    </row>
    <row r="295" spans="1:10" ht="15" customHeight="1">
      <c r="A295" s="210">
        <f t="shared" si="8"/>
        <v>292</v>
      </c>
      <c r="B295" s="211">
        <v>7392</v>
      </c>
      <c r="C295" s="212" t="s">
        <v>4060</v>
      </c>
      <c r="D295" s="212" t="str">
        <f t="shared" si="9"/>
        <v>CENTAR ZA ODGOJ I OBRAZOVANJE SLAVA RAŠKAJ SPLIT  (7392)</v>
      </c>
      <c r="E295" s="212" t="s">
        <v>4061</v>
      </c>
      <c r="F295" s="212" t="s">
        <v>361</v>
      </c>
      <c r="G295" s="213">
        <v>3120104</v>
      </c>
      <c r="H295" s="214" t="s">
        <v>4062</v>
      </c>
      <c r="J295" s="204"/>
    </row>
    <row r="296" spans="1:10" ht="15" customHeight="1">
      <c r="A296" s="210">
        <f t="shared" si="8"/>
        <v>293</v>
      </c>
      <c r="B296" s="211">
        <v>7489</v>
      </c>
      <c r="C296" s="212" t="s">
        <v>4063</v>
      </c>
      <c r="D296" s="212" t="str">
        <f t="shared" si="9"/>
        <v>CENTAR ZA ODGOJ I OBRAZOVANJE SLAVA RAŠKAJ ZAGREB (7489)</v>
      </c>
      <c r="E296" s="212" t="s">
        <v>4064</v>
      </c>
      <c r="F296" s="212" t="s">
        <v>276</v>
      </c>
      <c r="G296" s="213">
        <v>3205835</v>
      </c>
      <c r="H296" s="214" t="s">
        <v>4065</v>
      </c>
      <c r="J296" s="204"/>
    </row>
    <row r="297" spans="1:10" ht="15" customHeight="1">
      <c r="A297" s="210">
        <f t="shared" si="8"/>
        <v>294</v>
      </c>
      <c r="B297" s="211">
        <v>7421</v>
      </c>
      <c r="C297" s="212" t="s">
        <v>4066</v>
      </c>
      <c r="D297" s="212" t="str">
        <f t="shared" si="9"/>
        <v>CENTAR ZA ODGOJ I OBRAZOVANJE ŠUBIĆEVAC (7421)</v>
      </c>
      <c r="E297" s="212" t="s">
        <v>4067</v>
      </c>
      <c r="F297" s="212" t="s">
        <v>525</v>
      </c>
      <c r="G297" s="213">
        <v>3019683</v>
      </c>
      <c r="H297" s="214" t="s">
        <v>4068</v>
      </c>
      <c r="J297" s="204"/>
    </row>
    <row r="298" spans="1:10" ht="15" customHeight="1">
      <c r="A298" s="210">
        <f t="shared" si="8"/>
        <v>295</v>
      </c>
      <c r="B298" s="211">
        <v>7528</v>
      </c>
      <c r="C298" s="212" t="s">
        <v>4069</v>
      </c>
      <c r="D298" s="212" t="str">
        <f t="shared" si="9"/>
        <v>CENTAR ZA ODGOJ I OBRAZOVANJE TUŠKANAC (7528)</v>
      </c>
      <c r="E298" s="212" t="s">
        <v>4070</v>
      </c>
      <c r="F298" s="212" t="s">
        <v>276</v>
      </c>
      <c r="G298" s="213">
        <v>3205827</v>
      </c>
      <c r="H298" s="214" t="s">
        <v>4071</v>
      </c>
      <c r="J298" s="204"/>
    </row>
    <row r="299" spans="1:10" ht="15" customHeight="1">
      <c r="A299" s="210">
        <f t="shared" si="8"/>
        <v>296</v>
      </c>
      <c r="B299" s="211">
        <v>7501</v>
      </c>
      <c r="C299" s="212" t="s">
        <v>4072</v>
      </c>
      <c r="D299" s="212" t="str">
        <f t="shared" si="9"/>
        <v>CENTAR ZA ODGOJ I OBRAZOVANJE VELIKA GORICA  (7501)</v>
      </c>
      <c r="E299" s="212" t="s">
        <v>4073</v>
      </c>
      <c r="F299" s="212" t="s">
        <v>3593</v>
      </c>
      <c r="G299" s="213">
        <v>3216284</v>
      </c>
      <c r="H299" s="214" t="s">
        <v>4074</v>
      </c>
      <c r="J299" s="204"/>
    </row>
    <row r="300" spans="1:10" ht="15" customHeight="1">
      <c r="A300" s="210">
        <f t="shared" si="8"/>
        <v>297</v>
      </c>
      <c r="B300" s="211">
        <v>7497</v>
      </c>
      <c r="C300" s="212" t="s">
        <v>4075</v>
      </c>
      <c r="D300" s="212" t="str">
        <f t="shared" si="9"/>
        <v>CENTAR ZA ODGOJ I OBRAZOVANJE VINKO BEK (7497)</v>
      </c>
      <c r="E300" s="212" t="s">
        <v>4076</v>
      </c>
      <c r="F300" s="212" t="s">
        <v>276</v>
      </c>
      <c r="G300" s="213">
        <v>3205819</v>
      </c>
      <c r="H300" s="214" t="s">
        <v>4077</v>
      </c>
      <c r="J300" s="204"/>
    </row>
    <row r="301" spans="1:10" ht="15" customHeight="1">
      <c r="A301" s="210">
        <f t="shared" si="8"/>
        <v>298</v>
      </c>
      <c r="B301" s="211">
        <v>7536</v>
      </c>
      <c r="C301" s="212" t="s">
        <v>4078</v>
      </c>
      <c r="D301" s="212" t="str">
        <f t="shared" si="9"/>
        <v>CENTAR ZA ODGOJ I OBRAZOVANJE ZAJEZDA (7536)</v>
      </c>
      <c r="E301" s="212" t="s">
        <v>4079</v>
      </c>
      <c r="F301" s="212" t="s">
        <v>4080</v>
      </c>
      <c r="G301" s="213">
        <v>3126862</v>
      </c>
      <c r="H301" s="214" t="s">
        <v>4081</v>
      </c>
      <c r="J301" s="204"/>
    </row>
    <row r="302" spans="1:10" ht="15" customHeight="1">
      <c r="A302" s="210">
        <f t="shared" si="8"/>
        <v>299</v>
      </c>
      <c r="B302" s="211">
        <v>48402</v>
      </c>
      <c r="C302" s="212" t="s">
        <v>4082</v>
      </c>
      <c r="D302" s="212" t="str">
        <f t="shared" si="9"/>
        <v>CENTAR ZA POSEBNO SKRBNIŠTVO (48402)</v>
      </c>
      <c r="E302" s="212" t="s">
        <v>4083</v>
      </c>
      <c r="F302" s="212" t="s">
        <v>276</v>
      </c>
      <c r="G302" s="213">
        <v>4250257</v>
      </c>
      <c r="H302" s="214" t="s">
        <v>4084</v>
      </c>
      <c r="J302" s="204"/>
    </row>
    <row r="303" spans="1:10" ht="15" customHeight="1">
      <c r="A303" s="210">
        <f t="shared" si="8"/>
        <v>300</v>
      </c>
      <c r="B303" s="211">
        <v>7163</v>
      </c>
      <c r="C303" s="212" t="s">
        <v>4085</v>
      </c>
      <c r="D303" s="212" t="str">
        <f t="shared" si="9"/>
        <v>CENTAR ZA PRUŽANJE USLUGA U ZAJEDNICI IZVOR, SELCE (7163)</v>
      </c>
      <c r="E303" s="212" t="s">
        <v>4086</v>
      </c>
      <c r="F303" s="212" t="s">
        <v>4087</v>
      </c>
      <c r="G303" s="213">
        <v>3148637</v>
      </c>
      <c r="H303" s="214" t="s">
        <v>4088</v>
      </c>
      <c r="J303" s="204"/>
    </row>
    <row r="304" spans="1:10" ht="15" customHeight="1">
      <c r="A304" s="210">
        <f t="shared" si="8"/>
        <v>301</v>
      </c>
      <c r="B304" s="211">
        <v>7147</v>
      </c>
      <c r="C304" s="212" t="s">
        <v>4089</v>
      </c>
      <c r="D304" s="212" t="str">
        <f t="shared" si="9"/>
        <v>CENTAR ZA PRUŽANJE USLUGA U ZAJEDNICI KLASJE OSIJEK (7147)</v>
      </c>
      <c r="E304" s="212" t="s">
        <v>4090</v>
      </c>
      <c r="F304" s="212" t="s">
        <v>279</v>
      </c>
      <c r="G304" s="213">
        <v>3014410</v>
      </c>
      <c r="H304" s="214" t="s">
        <v>4091</v>
      </c>
      <c r="J304" s="204"/>
    </row>
    <row r="305" spans="1:10" ht="15" customHeight="1">
      <c r="A305" s="210">
        <f t="shared" si="8"/>
        <v>302</v>
      </c>
      <c r="B305" s="211">
        <v>7180</v>
      </c>
      <c r="C305" s="212" t="s">
        <v>4092</v>
      </c>
      <c r="D305" s="212" t="str">
        <f t="shared" si="9"/>
        <v>CENTAR ZA PRUŽANJE USLUGA U ZAJEDNICI KUĆA SRETNIH CIGLICA, SLAVONSKI BROD (7180)</v>
      </c>
      <c r="E305" s="222" t="s">
        <v>4093</v>
      </c>
      <c r="F305" s="222" t="s">
        <v>1772</v>
      </c>
      <c r="G305" s="213">
        <v>3071332</v>
      </c>
      <c r="H305" s="214" t="s">
        <v>4094</v>
      </c>
      <c r="J305" s="204"/>
    </row>
    <row r="306" spans="1:10" ht="15" customHeight="1">
      <c r="A306" s="210">
        <f t="shared" si="8"/>
        <v>303</v>
      </c>
      <c r="B306" s="211">
        <v>7114</v>
      </c>
      <c r="C306" s="212" t="s">
        <v>4095</v>
      </c>
      <c r="D306" s="212" t="str">
        <f t="shared" si="9"/>
        <v>CENTAR ZA PRUŽANJE USLUGA U ZAJEDNICI LIPIK (7114)</v>
      </c>
      <c r="E306" s="212" t="s">
        <v>4096</v>
      </c>
      <c r="F306" s="212" t="s">
        <v>4097</v>
      </c>
      <c r="G306" s="213">
        <v>3084981</v>
      </c>
      <c r="H306" s="214" t="s">
        <v>4098</v>
      </c>
      <c r="J306" s="204"/>
    </row>
    <row r="307" spans="1:10" ht="15" customHeight="1">
      <c r="A307" s="210">
        <f t="shared" si="8"/>
        <v>304</v>
      </c>
      <c r="B307" s="211">
        <v>52305</v>
      </c>
      <c r="C307" s="212" t="s">
        <v>4099</v>
      </c>
      <c r="D307" s="212" t="str">
        <f t="shared" si="9"/>
        <v>CENTAR ZA PRUŽANJE USLUGA U ZAJEDNICI MOCIRE (52305)</v>
      </c>
      <c r="E307" s="212" t="s">
        <v>4100</v>
      </c>
      <c r="F307" s="212" t="s">
        <v>317</v>
      </c>
      <c r="G307" s="213">
        <v>5343020</v>
      </c>
      <c r="H307" s="214" t="s">
        <v>4101</v>
      </c>
      <c r="J307" s="204"/>
    </row>
    <row r="308" spans="1:10" ht="15" customHeight="1">
      <c r="A308" s="210">
        <f t="shared" si="8"/>
        <v>305</v>
      </c>
      <c r="B308" s="211">
        <v>7761</v>
      </c>
      <c r="C308" s="212" t="s">
        <v>4102</v>
      </c>
      <c r="D308" s="212" t="str">
        <f t="shared" si="9"/>
        <v>CENTAR ZA PRUŽANJE USLUGA U ZAJEDNICI OSIJEK - JA KAO I TI (7761)</v>
      </c>
      <c r="E308" s="212" t="s">
        <v>4103</v>
      </c>
      <c r="F308" s="212" t="s">
        <v>279</v>
      </c>
      <c r="G308" s="213">
        <v>3014452</v>
      </c>
      <c r="H308" s="214" t="s">
        <v>4104</v>
      </c>
      <c r="J308" s="204"/>
    </row>
    <row r="309" spans="1:10" ht="15" customHeight="1">
      <c r="A309" s="210">
        <f t="shared" si="8"/>
        <v>306</v>
      </c>
      <c r="B309" s="211">
        <v>7350</v>
      </c>
      <c r="C309" s="212" t="s">
        <v>4105</v>
      </c>
      <c r="D309" s="212" t="str">
        <f t="shared" si="9"/>
        <v>CENTAR ZA PRUŽANJE USLUGA U ZAJEDNICI OZALJ (7350)</v>
      </c>
      <c r="E309" s="212" t="s">
        <v>4106</v>
      </c>
      <c r="F309" s="212" t="s">
        <v>4107</v>
      </c>
      <c r="G309" s="213">
        <v>3187381</v>
      </c>
      <c r="H309" s="214" t="s">
        <v>4108</v>
      </c>
      <c r="J309" s="204"/>
    </row>
    <row r="310" spans="1:10" ht="15" customHeight="1">
      <c r="A310" s="210">
        <f t="shared" si="8"/>
        <v>307</v>
      </c>
      <c r="B310" s="211">
        <v>7309</v>
      </c>
      <c r="C310" s="212" t="s">
        <v>4109</v>
      </c>
      <c r="D310" s="212" t="str">
        <f t="shared" si="9"/>
        <v>CENTAR ZA PRUŽANJE USLUGA U ZAJEDNICI SPLIT (7309)</v>
      </c>
      <c r="E310" s="212" t="s">
        <v>4110</v>
      </c>
      <c r="F310" s="212" t="s">
        <v>361</v>
      </c>
      <c r="G310" s="213">
        <v>3133745</v>
      </c>
      <c r="H310" s="214" t="s">
        <v>4111</v>
      </c>
      <c r="J310" s="204"/>
    </row>
    <row r="311" spans="1:10" ht="15" customHeight="1">
      <c r="A311" s="210">
        <f t="shared" si="8"/>
        <v>308</v>
      </c>
      <c r="B311" s="211">
        <v>7106</v>
      </c>
      <c r="C311" s="212" t="s">
        <v>4112</v>
      </c>
      <c r="D311" s="212" t="str">
        <f t="shared" si="9"/>
        <v>CENTAR ZA PRUŽANJE USLUGA U ZAJEDNICI SVITANJE (7106)</v>
      </c>
      <c r="E311" s="212" t="s">
        <v>4113</v>
      </c>
      <c r="F311" s="212" t="s">
        <v>310</v>
      </c>
      <c r="G311" s="213">
        <v>3009971</v>
      </c>
      <c r="H311" s="214" t="s">
        <v>4114</v>
      </c>
      <c r="J311" s="204"/>
    </row>
    <row r="312" spans="1:10" ht="15" customHeight="1">
      <c r="A312" s="210">
        <f t="shared" si="8"/>
        <v>309</v>
      </c>
      <c r="B312" s="211">
        <v>7091</v>
      </c>
      <c r="C312" s="212" t="s">
        <v>4115</v>
      </c>
      <c r="D312" s="212" t="str">
        <f t="shared" si="9"/>
        <v>CENTAR ZA PRUŽANJE USLUGA U ZAJEDNICI VLADIMIR NAZOR (7091)</v>
      </c>
      <c r="E312" s="212" t="s">
        <v>4116</v>
      </c>
      <c r="F312" s="212" t="s">
        <v>514</v>
      </c>
      <c r="G312" s="213">
        <v>3123464</v>
      </c>
      <c r="H312" s="214" t="s">
        <v>4117</v>
      </c>
      <c r="J312" s="204"/>
    </row>
    <row r="313" spans="1:10" ht="15" customHeight="1">
      <c r="A313" s="210">
        <f t="shared" si="8"/>
        <v>310</v>
      </c>
      <c r="B313" s="211">
        <v>21801</v>
      </c>
      <c r="C313" s="212" t="s">
        <v>4118</v>
      </c>
      <c r="D313" s="212" t="str">
        <f t="shared" si="9"/>
        <v>CENTAR ZA REHABILITACIJU FRA ANTE SEKELEZ (21801)</v>
      </c>
      <c r="E313" s="212" t="s">
        <v>4119</v>
      </c>
      <c r="F313" s="212" t="s">
        <v>4120</v>
      </c>
      <c r="G313" s="213">
        <v>1284797</v>
      </c>
      <c r="H313" s="214" t="s">
        <v>4121</v>
      </c>
      <c r="J313" s="204"/>
    </row>
    <row r="314" spans="1:10" ht="15" customHeight="1">
      <c r="A314" s="210">
        <f t="shared" si="8"/>
        <v>311</v>
      </c>
      <c r="B314" s="211">
        <v>21797</v>
      </c>
      <c r="C314" s="212" t="s">
        <v>4122</v>
      </c>
      <c r="D314" s="212" t="str">
        <f t="shared" si="9"/>
        <v>CENTAR ZA REHABILITACIJU JOSIPOVAC (21797)</v>
      </c>
      <c r="E314" s="212" t="s">
        <v>4123</v>
      </c>
      <c r="F314" s="212" t="s">
        <v>4124</v>
      </c>
      <c r="G314" s="213">
        <v>1151703</v>
      </c>
      <c r="H314" s="214" t="s">
        <v>4125</v>
      </c>
      <c r="J314" s="204"/>
    </row>
    <row r="315" spans="1:10" ht="24">
      <c r="A315" s="210">
        <f t="shared" ref="A315:A378" si="10">+A314+1</f>
        <v>312</v>
      </c>
      <c r="B315" s="211">
        <v>45986</v>
      </c>
      <c r="C315" s="212" t="s">
        <v>4126</v>
      </c>
      <c r="D315" s="212" t="str">
        <f t="shared" si="9"/>
        <v>CENTAR ZA REHABILITACIJU KOMAREVO (45986)</v>
      </c>
      <c r="E315" s="212" t="s">
        <v>4127</v>
      </c>
      <c r="F315" s="212" t="s">
        <v>4128</v>
      </c>
      <c r="G315" s="213">
        <v>2506327</v>
      </c>
      <c r="H315" s="214" t="s">
        <v>4129</v>
      </c>
      <c r="J315" s="204"/>
    </row>
    <row r="316" spans="1:10" ht="15" customHeight="1">
      <c r="A316" s="210">
        <f t="shared" si="10"/>
        <v>313</v>
      </c>
      <c r="B316" s="211">
        <v>26555</v>
      </c>
      <c r="C316" s="212" t="s">
        <v>4130</v>
      </c>
      <c r="D316" s="212" t="str">
        <f t="shared" si="9"/>
        <v>CENTAR ZA REHABILITACIJU MALA TEREZIJA (26555)</v>
      </c>
      <c r="E316" s="212" t="s">
        <v>4131</v>
      </c>
      <c r="F316" s="212" t="s">
        <v>4132</v>
      </c>
      <c r="G316" s="213">
        <v>1738925</v>
      </c>
      <c r="H316" s="214" t="s">
        <v>4133</v>
      </c>
      <c r="J316" s="204"/>
    </row>
    <row r="317" spans="1:10" ht="15" customHeight="1">
      <c r="A317" s="210">
        <f t="shared" si="10"/>
        <v>314</v>
      </c>
      <c r="B317" s="211">
        <v>21810</v>
      </c>
      <c r="C317" s="212" t="s">
        <v>4134</v>
      </c>
      <c r="D317" s="212" t="str">
        <f t="shared" si="9"/>
        <v>CENTAR ZA REHABILITACIJU MIR (21810)</v>
      </c>
      <c r="E317" s="212" t="s">
        <v>4135</v>
      </c>
      <c r="F317" s="212" t="s">
        <v>4136</v>
      </c>
      <c r="G317" s="213">
        <v>1284789</v>
      </c>
      <c r="H317" s="214" t="s">
        <v>4137</v>
      </c>
      <c r="J317" s="204"/>
    </row>
    <row r="318" spans="1:10" ht="15" customHeight="1">
      <c r="A318" s="210">
        <f t="shared" si="10"/>
        <v>315</v>
      </c>
      <c r="B318" s="211">
        <v>7430</v>
      </c>
      <c r="C318" s="212" t="s">
        <v>4138</v>
      </c>
      <c r="D318" s="212" t="str">
        <f t="shared" si="9"/>
        <v>CENTAR ZA REHABILITACIJU PULA  (7430)</v>
      </c>
      <c r="E318" s="212" t="s">
        <v>4139</v>
      </c>
      <c r="F318" s="212" t="s">
        <v>307</v>
      </c>
      <c r="G318" s="213">
        <v>3549496</v>
      </c>
      <c r="H318" s="214" t="s">
        <v>4140</v>
      </c>
      <c r="J318" s="204"/>
    </row>
    <row r="319" spans="1:10" ht="15" customHeight="1">
      <c r="A319" s="210">
        <f t="shared" si="10"/>
        <v>316</v>
      </c>
      <c r="B319" s="211">
        <v>7384</v>
      </c>
      <c r="C319" s="212" t="s">
        <v>4141</v>
      </c>
      <c r="D319" s="212" t="str">
        <f t="shared" si="9"/>
        <v>CENTAR ZA REHABILITACIJU RIJEKA (7384)</v>
      </c>
      <c r="E319" s="212" t="s">
        <v>4142</v>
      </c>
      <c r="F319" s="212" t="s">
        <v>321</v>
      </c>
      <c r="G319" s="213">
        <v>3417778</v>
      </c>
      <c r="H319" s="214" t="s">
        <v>4143</v>
      </c>
      <c r="J319" s="204"/>
    </row>
    <row r="320" spans="1:10" ht="15" customHeight="1">
      <c r="A320" s="210">
        <f t="shared" si="10"/>
        <v>317</v>
      </c>
      <c r="B320" s="211">
        <v>21789</v>
      </c>
      <c r="C320" s="212" t="s">
        <v>4144</v>
      </c>
      <c r="D320" s="212" t="str">
        <f t="shared" si="9"/>
        <v>CENTAR ZA REHABILITACIJU SAMARITANAC SPLIT (21789)</v>
      </c>
      <c r="E320" s="212" t="s">
        <v>4145</v>
      </c>
      <c r="F320" s="212" t="s">
        <v>361</v>
      </c>
      <c r="G320" s="213">
        <v>1140370</v>
      </c>
      <c r="H320" s="214" t="s">
        <v>4146</v>
      </c>
      <c r="J320" s="204"/>
    </row>
    <row r="321" spans="1:10" ht="15" customHeight="1">
      <c r="A321" s="210">
        <f t="shared" si="10"/>
        <v>318</v>
      </c>
      <c r="B321" s="211">
        <v>7413</v>
      </c>
      <c r="C321" s="212" t="s">
        <v>4147</v>
      </c>
      <c r="D321" s="212" t="str">
        <f t="shared" si="9"/>
        <v>CENTAR ZA REHABILITACIJU STANČIĆ (7413)</v>
      </c>
      <c r="E321" s="212" t="s">
        <v>4148</v>
      </c>
      <c r="F321" s="212" t="s">
        <v>4149</v>
      </c>
      <c r="G321" s="213">
        <v>3348431</v>
      </c>
      <c r="H321" s="214" t="s">
        <v>4150</v>
      </c>
      <c r="J321" s="204"/>
    </row>
    <row r="322" spans="1:10" ht="15" customHeight="1">
      <c r="A322" s="210">
        <f t="shared" si="10"/>
        <v>319</v>
      </c>
      <c r="B322" s="211">
        <v>7341</v>
      </c>
      <c r="C322" s="212" t="s">
        <v>4151</v>
      </c>
      <c r="D322" s="212" t="str">
        <f t="shared" si="9"/>
        <v>CENTAR ZA REHABILITACIJU SVETI FILIP I JAKOV (7341)</v>
      </c>
      <c r="E322" s="212" t="s">
        <v>4152</v>
      </c>
      <c r="F322" s="212" t="s">
        <v>4153</v>
      </c>
      <c r="G322" s="213">
        <v>3334392</v>
      </c>
      <c r="H322" s="214" t="s">
        <v>4154</v>
      </c>
      <c r="J322" s="204"/>
    </row>
    <row r="323" spans="1:10" ht="15" customHeight="1">
      <c r="A323" s="210">
        <f t="shared" si="10"/>
        <v>320</v>
      </c>
      <c r="B323" s="211">
        <v>7464</v>
      </c>
      <c r="C323" s="212" t="s">
        <v>4155</v>
      </c>
      <c r="D323" s="212" t="str">
        <f t="shared" si="9"/>
        <v>CENTAR ZA REHABILITACIJU ZAGREB (7464)</v>
      </c>
      <c r="E323" s="212" t="s">
        <v>4156</v>
      </c>
      <c r="F323" s="212" t="s">
        <v>276</v>
      </c>
      <c r="G323" s="213">
        <v>3256251</v>
      </c>
      <c r="H323" s="214" t="s">
        <v>4157</v>
      </c>
      <c r="J323" s="204"/>
    </row>
    <row r="324" spans="1:10" ht="15" customHeight="1">
      <c r="A324" s="210">
        <f t="shared" si="10"/>
        <v>321</v>
      </c>
      <c r="B324" s="211">
        <v>6187</v>
      </c>
      <c r="C324" s="212" t="s">
        <v>4158</v>
      </c>
      <c r="D324" s="212" t="str">
        <f t="shared" ref="D324:D387" si="11">C324&amp;" ("&amp;B324&amp;")"</f>
        <v>CENTAR ZA SOCIJALNU SKRB BELI MANASTIR (6187)</v>
      </c>
      <c r="E324" s="212" t="s">
        <v>4159</v>
      </c>
      <c r="F324" s="212" t="s">
        <v>4160</v>
      </c>
      <c r="G324" s="213">
        <v>2872692</v>
      </c>
      <c r="H324" s="214" t="s">
        <v>4161</v>
      </c>
      <c r="J324" s="204"/>
    </row>
    <row r="325" spans="1:10" ht="15" customHeight="1">
      <c r="A325" s="210">
        <f t="shared" si="10"/>
        <v>322</v>
      </c>
      <c r="B325" s="211">
        <v>6195</v>
      </c>
      <c r="C325" s="212" t="s">
        <v>4162</v>
      </c>
      <c r="D325" s="212" t="str">
        <f t="shared" si="11"/>
        <v>CENTAR ZA SOCIJALNU SKRB BENKOVAC (6195)</v>
      </c>
      <c r="E325" s="212" t="s">
        <v>4163</v>
      </c>
      <c r="F325" s="212" t="s">
        <v>4164</v>
      </c>
      <c r="G325" s="213">
        <v>2884321</v>
      </c>
      <c r="H325" s="214" t="s">
        <v>4165</v>
      </c>
      <c r="J325" s="204"/>
    </row>
    <row r="326" spans="1:10" ht="15" customHeight="1">
      <c r="A326" s="210">
        <f t="shared" si="10"/>
        <v>323</v>
      </c>
      <c r="B326" s="211">
        <v>6200</v>
      </c>
      <c r="C326" s="212" t="s">
        <v>4166</v>
      </c>
      <c r="D326" s="212" t="str">
        <f t="shared" si="11"/>
        <v>CENTAR ZA SOCIJALNU SKRB BIOGRAD NA MORU  (6200)</v>
      </c>
      <c r="E326" s="212" t="s">
        <v>4167</v>
      </c>
      <c r="F326" s="212" t="s">
        <v>4168</v>
      </c>
      <c r="G326" s="213">
        <v>2884330</v>
      </c>
      <c r="H326" s="214" t="s">
        <v>4169</v>
      </c>
      <c r="J326" s="204"/>
    </row>
    <row r="327" spans="1:10" ht="15" customHeight="1">
      <c r="A327" s="210">
        <f t="shared" si="10"/>
        <v>324</v>
      </c>
      <c r="B327" s="211">
        <v>6218</v>
      </c>
      <c r="C327" s="212" t="s">
        <v>4170</v>
      </c>
      <c r="D327" s="212" t="str">
        <f t="shared" si="11"/>
        <v>CENTAR ZA SOCIJALNU SKRB BJELOVAR (6218)</v>
      </c>
      <c r="E327" s="212" t="s">
        <v>4171</v>
      </c>
      <c r="F327" s="212" t="s">
        <v>3663</v>
      </c>
      <c r="G327" s="213">
        <v>2873761</v>
      </c>
      <c r="H327" s="214" t="s">
        <v>4172</v>
      </c>
      <c r="J327" s="204"/>
    </row>
    <row r="328" spans="1:10" ht="15" customHeight="1">
      <c r="A328" s="210">
        <f t="shared" si="10"/>
        <v>325</v>
      </c>
      <c r="B328" s="211">
        <v>6226</v>
      </c>
      <c r="C328" s="212" t="s">
        <v>4173</v>
      </c>
      <c r="D328" s="212" t="str">
        <f t="shared" si="11"/>
        <v>CENTAR ZA SOCIJALNU SKRB BRAČ - SUPETAR (6226)</v>
      </c>
      <c r="E328" s="212" t="s">
        <v>4174</v>
      </c>
      <c r="F328" s="212" t="s">
        <v>4175</v>
      </c>
      <c r="G328" s="213">
        <v>2882736</v>
      </c>
      <c r="H328" s="214" t="s">
        <v>4176</v>
      </c>
      <c r="J328" s="204"/>
    </row>
    <row r="329" spans="1:10" ht="15" customHeight="1">
      <c r="A329" s="210">
        <f t="shared" si="10"/>
        <v>326</v>
      </c>
      <c r="B329" s="211">
        <v>6234</v>
      </c>
      <c r="C329" s="212" t="s">
        <v>4177</v>
      </c>
      <c r="D329" s="212" t="str">
        <f t="shared" si="11"/>
        <v>CENTAR ZA SOCIJALNU SKRB BUJE, CENTRO DI ASSISTENZA SOCIALE DI BUIE (6234)</v>
      </c>
      <c r="E329" s="212" t="s">
        <v>4178</v>
      </c>
      <c r="F329" s="212" t="s">
        <v>4179</v>
      </c>
      <c r="G329" s="213">
        <v>2883341</v>
      </c>
      <c r="H329" s="214" t="s">
        <v>4180</v>
      </c>
      <c r="J329" s="204"/>
    </row>
    <row r="330" spans="1:10" ht="15" customHeight="1">
      <c r="A330" s="210">
        <f t="shared" si="10"/>
        <v>327</v>
      </c>
      <c r="B330" s="211">
        <v>6541</v>
      </c>
      <c r="C330" s="212" t="s">
        <v>4181</v>
      </c>
      <c r="D330" s="212" t="str">
        <f t="shared" si="11"/>
        <v>CENTAR ZA SOCIJALNU SKRB CRES-LOŠINJ (6541)</v>
      </c>
      <c r="E330" s="212" t="s">
        <v>4182</v>
      </c>
      <c r="F330" s="212" t="s">
        <v>4183</v>
      </c>
      <c r="G330" s="213">
        <v>2883708</v>
      </c>
      <c r="H330" s="214" t="s">
        <v>4184</v>
      </c>
      <c r="J330" s="204"/>
    </row>
    <row r="331" spans="1:10" ht="15" customHeight="1">
      <c r="A331" s="210">
        <f t="shared" si="10"/>
        <v>328</v>
      </c>
      <c r="B331" s="211">
        <v>6242</v>
      </c>
      <c r="C331" s="212" t="s">
        <v>4185</v>
      </c>
      <c r="D331" s="212" t="str">
        <f t="shared" si="11"/>
        <v>CENTAR ZA SOCIJALNU SKRB CRIKVENICA (6242)</v>
      </c>
      <c r="E331" s="212" t="s">
        <v>4186</v>
      </c>
      <c r="F331" s="212" t="s">
        <v>4187</v>
      </c>
      <c r="G331" s="213">
        <v>2883694</v>
      </c>
      <c r="H331" s="214" t="s">
        <v>4188</v>
      </c>
      <c r="J331" s="204"/>
    </row>
    <row r="332" spans="1:10" ht="15" customHeight="1">
      <c r="A332" s="210">
        <f t="shared" si="10"/>
        <v>329</v>
      </c>
      <c r="B332" s="211">
        <v>6259</v>
      </c>
      <c r="C332" s="212" t="s">
        <v>4189</v>
      </c>
      <c r="D332" s="212" t="str">
        <f t="shared" si="11"/>
        <v>CENTAR ZA SOCIJALNU SKRB ČAKOVEC  (6259)</v>
      </c>
      <c r="E332" s="212" t="s">
        <v>4190</v>
      </c>
      <c r="F332" s="212" t="s">
        <v>495</v>
      </c>
      <c r="G332" s="213">
        <v>2874687</v>
      </c>
      <c r="H332" s="214" t="s">
        <v>4191</v>
      </c>
      <c r="J332" s="204"/>
    </row>
    <row r="333" spans="1:10" ht="15" customHeight="1">
      <c r="A333" s="210">
        <f t="shared" si="10"/>
        <v>330</v>
      </c>
      <c r="B333" s="211">
        <v>6267</v>
      </c>
      <c r="C333" s="212" t="s">
        <v>4192</v>
      </c>
      <c r="D333" s="212" t="str">
        <f t="shared" si="11"/>
        <v>CENTAR ZA SOCIJALNU SKRB ČAZMA  (6267)</v>
      </c>
      <c r="E333" s="212" t="s">
        <v>4193</v>
      </c>
      <c r="F333" s="212" t="s">
        <v>4194</v>
      </c>
      <c r="G333" s="213">
        <v>2873788</v>
      </c>
      <c r="H333" s="214" t="s">
        <v>4195</v>
      </c>
      <c r="J333" s="204"/>
    </row>
    <row r="334" spans="1:10" ht="15" customHeight="1">
      <c r="A334" s="210">
        <f t="shared" si="10"/>
        <v>331</v>
      </c>
      <c r="B334" s="211">
        <v>6275</v>
      </c>
      <c r="C334" s="212" t="s">
        <v>4196</v>
      </c>
      <c r="D334" s="212" t="str">
        <f t="shared" si="11"/>
        <v>CENTAR ZA SOCIJALNU SKRB DARUVAR  (6275)</v>
      </c>
      <c r="E334" s="212" t="s">
        <v>4197</v>
      </c>
      <c r="F334" s="212" t="s">
        <v>4048</v>
      </c>
      <c r="G334" s="213">
        <v>2873796</v>
      </c>
      <c r="H334" s="214" t="s">
        <v>4198</v>
      </c>
      <c r="J334" s="204"/>
    </row>
    <row r="335" spans="1:10" ht="15" customHeight="1">
      <c r="A335" s="210">
        <f t="shared" si="10"/>
        <v>332</v>
      </c>
      <c r="B335" s="211">
        <v>6291</v>
      </c>
      <c r="C335" s="212" t="s">
        <v>4199</v>
      </c>
      <c r="D335" s="212" t="str">
        <f t="shared" si="11"/>
        <v>CENTAR ZA SOCIJALNU SKRB DONJA STUBICA  (6291)</v>
      </c>
      <c r="E335" s="212" t="s">
        <v>4200</v>
      </c>
      <c r="F335" s="212" t="s">
        <v>4201</v>
      </c>
      <c r="G335" s="213">
        <v>2877457</v>
      </c>
      <c r="H335" s="214" t="s">
        <v>4202</v>
      </c>
      <c r="J335" s="204"/>
    </row>
    <row r="336" spans="1:10" ht="15" customHeight="1">
      <c r="A336" s="210">
        <f t="shared" si="10"/>
        <v>333</v>
      </c>
      <c r="B336" s="211">
        <v>6306</v>
      </c>
      <c r="C336" s="212" t="s">
        <v>4203</v>
      </c>
      <c r="D336" s="212" t="str">
        <f t="shared" si="11"/>
        <v>CENTAR ZA SOCIJALNU SKRB DONJI MIHOLJAC (6306)</v>
      </c>
      <c r="E336" s="212" t="s">
        <v>4204</v>
      </c>
      <c r="F336" s="212" t="s">
        <v>4205</v>
      </c>
      <c r="G336" s="213">
        <v>2872722</v>
      </c>
      <c r="H336" s="214" t="s">
        <v>4206</v>
      </c>
      <c r="J336" s="204"/>
    </row>
    <row r="337" spans="1:10" ht="15" customHeight="1">
      <c r="A337" s="210">
        <f t="shared" si="10"/>
        <v>334</v>
      </c>
      <c r="B337" s="211">
        <v>21692</v>
      </c>
      <c r="C337" s="212" t="s">
        <v>4207</v>
      </c>
      <c r="D337" s="212" t="str">
        <f t="shared" si="11"/>
        <v>CENTAR ZA SOCIJALNU SKRB DRNIŠ (21692)</v>
      </c>
      <c r="E337" s="212" t="s">
        <v>4208</v>
      </c>
      <c r="F337" s="212" t="s">
        <v>4209</v>
      </c>
      <c r="G337" s="213">
        <v>2882027</v>
      </c>
      <c r="H337" s="214" t="s">
        <v>4210</v>
      </c>
      <c r="J337" s="204"/>
    </row>
    <row r="338" spans="1:10" ht="15" customHeight="1">
      <c r="A338" s="210">
        <f t="shared" si="10"/>
        <v>335</v>
      </c>
      <c r="B338" s="211">
        <v>6314</v>
      </c>
      <c r="C338" s="212" t="s">
        <v>4211</v>
      </c>
      <c r="D338" s="212" t="str">
        <f t="shared" si="11"/>
        <v>CENTAR ZA SOCIJALNU SKRB DUBROVNIK (6314)</v>
      </c>
      <c r="E338" s="212" t="s">
        <v>4212</v>
      </c>
      <c r="F338" s="212" t="s">
        <v>314</v>
      </c>
      <c r="G338" s="213">
        <v>2882302</v>
      </c>
      <c r="H338" s="214" t="s">
        <v>4213</v>
      </c>
      <c r="J338" s="204"/>
    </row>
    <row r="339" spans="1:10" ht="15" customHeight="1">
      <c r="A339" s="210">
        <f t="shared" si="10"/>
        <v>336</v>
      </c>
      <c r="B339" s="211">
        <v>6322</v>
      </c>
      <c r="C339" s="212" t="s">
        <v>4214</v>
      </c>
      <c r="D339" s="212" t="str">
        <f t="shared" si="11"/>
        <v>CENTAR ZA SOCIJALNU SKRB DUGA RESA (6322)</v>
      </c>
      <c r="E339" s="212" t="s">
        <v>4215</v>
      </c>
      <c r="F339" s="212" t="s">
        <v>4216</v>
      </c>
      <c r="G339" s="213">
        <v>2883015</v>
      </c>
      <c r="H339" s="214" t="s">
        <v>4217</v>
      </c>
      <c r="J339" s="204"/>
    </row>
    <row r="340" spans="1:10" ht="15" customHeight="1">
      <c r="A340" s="210">
        <f t="shared" si="10"/>
        <v>337</v>
      </c>
      <c r="B340" s="211">
        <v>6339</v>
      </c>
      <c r="C340" s="212" t="s">
        <v>4218</v>
      </c>
      <c r="D340" s="212" t="str">
        <f t="shared" si="11"/>
        <v>CENTAR ZA SOCIJALNU SKRB DUGO SELO (6339)</v>
      </c>
      <c r="E340" s="212" t="s">
        <v>4219</v>
      </c>
      <c r="F340" s="212" t="s">
        <v>4220</v>
      </c>
      <c r="G340" s="213">
        <v>2873125</v>
      </c>
      <c r="H340" s="214" t="s">
        <v>4221</v>
      </c>
      <c r="J340" s="204"/>
    </row>
    <row r="341" spans="1:10" ht="15" customHeight="1">
      <c r="A341" s="210">
        <f t="shared" si="10"/>
        <v>338</v>
      </c>
      <c r="B341" s="211">
        <v>6347</v>
      </c>
      <c r="C341" s="212" t="s">
        <v>4222</v>
      </c>
      <c r="D341" s="212" t="str">
        <f t="shared" si="11"/>
        <v>CENTAR ZA SOCIJALNU SKRB ĐAKOVO (6347)</v>
      </c>
      <c r="E341" s="212" t="s">
        <v>4223</v>
      </c>
      <c r="F341" s="212" t="s">
        <v>300</v>
      </c>
      <c r="G341" s="213">
        <v>2872706</v>
      </c>
      <c r="H341" s="214" t="s">
        <v>4224</v>
      </c>
      <c r="J341" s="204"/>
    </row>
    <row r="342" spans="1:10" ht="15" customHeight="1">
      <c r="A342" s="210">
        <f t="shared" si="10"/>
        <v>339</v>
      </c>
      <c r="B342" s="211">
        <v>6355</v>
      </c>
      <c r="C342" s="212" t="s">
        <v>4225</v>
      </c>
      <c r="D342" s="212" t="str">
        <f t="shared" si="11"/>
        <v>CENTAR ZA SOCIJALNU SKRB ĐURĐEVAC (6355)</v>
      </c>
      <c r="E342" s="212" t="s">
        <v>4226</v>
      </c>
      <c r="F342" s="212" t="s">
        <v>4227</v>
      </c>
      <c r="G342" s="213">
        <v>2873397</v>
      </c>
      <c r="H342" s="214" t="s">
        <v>4228</v>
      </c>
      <c r="J342" s="204"/>
    </row>
    <row r="343" spans="1:10" ht="15" customHeight="1">
      <c r="A343" s="210">
        <f t="shared" si="10"/>
        <v>340</v>
      </c>
      <c r="B343" s="211">
        <v>6363</v>
      </c>
      <c r="C343" s="212" t="s">
        <v>4229</v>
      </c>
      <c r="D343" s="212" t="str">
        <f t="shared" si="11"/>
        <v>CENTAR ZA SOCIJALNU SKRB GAREŠNICA  (6363)</v>
      </c>
      <c r="E343" s="212" t="s">
        <v>4230</v>
      </c>
      <c r="F343" s="212" t="s">
        <v>4231</v>
      </c>
      <c r="G343" s="213">
        <v>2873770</v>
      </c>
      <c r="H343" s="214" t="s">
        <v>4232</v>
      </c>
      <c r="J343" s="204"/>
    </row>
    <row r="344" spans="1:10" ht="15" customHeight="1">
      <c r="A344" s="210">
        <f t="shared" si="10"/>
        <v>341</v>
      </c>
      <c r="B344" s="211">
        <v>21713</v>
      </c>
      <c r="C344" s="212" t="s">
        <v>4233</v>
      </c>
      <c r="D344" s="212" t="str">
        <f t="shared" si="11"/>
        <v>CENTAR ZA SOCIJALNU SKRB GLINA (21713)</v>
      </c>
      <c r="E344" s="212" t="s">
        <v>4234</v>
      </c>
      <c r="F344" s="212" t="s">
        <v>4235</v>
      </c>
      <c r="G344" s="213">
        <v>2883295</v>
      </c>
      <c r="H344" s="214" t="s">
        <v>4236</v>
      </c>
      <c r="J344" s="204"/>
    </row>
    <row r="345" spans="1:10" ht="15" customHeight="1">
      <c r="A345" s="210">
        <f t="shared" si="10"/>
        <v>342</v>
      </c>
      <c r="B345" s="211">
        <v>6371</v>
      </c>
      <c r="C345" s="212" t="s">
        <v>4237</v>
      </c>
      <c r="D345" s="212" t="str">
        <f t="shared" si="11"/>
        <v>CENTAR ZA SOCIJALNU SKRB GOSPIĆ (6371)</v>
      </c>
      <c r="E345" s="212" t="s">
        <v>4238</v>
      </c>
      <c r="F345" s="212" t="s">
        <v>510</v>
      </c>
      <c r="G345" s="213">
        <v>2883643</v>
      </c>
      <c r="H345" s="214" t="s">
        <v>4239</v>
      </c>
      <c r="J345" s="204"/>
    </row>
    <row r="346" spans="1:10" ht="15" customHeight="1">
      <c r="A346" s="210">
        <f t="shared" si="10"/>
        <v>343</v>
      </c>
      <c r="B346" s="211">
        <v>50032</v>
      </c>
      <c r="C346" s="212" t="s">
        <v>4240</v>
      </c>
      <c r="D346" s="212" t="str">
        <f t="shared" si="11"/>
        <v>CENTAR ZA SOCIJALNU SKRB GRUBIŠNO POLJE (50032)</v>
      </c>
      <c r="E346" s="212" t="s">
        <v>4241</v>
      </c>
      <c r="F346" s="212" t="s">
        <v>4242</v>
      </c>
      <c r="G346" s="213">
        <v>4840836</v>
      </c>
      <c r="H346" s="214" t="s">
        <v>4243</v>
      </c>
      <c r="J346" s="204"/>
    </row>
    <row r="347" spans="1:10" ht="24">
      <c r="A347" s="210">
        <f t="shared" si="10"/>
        <v>344</v>
      </c>
      <c r="B347" s="211">
        <v>21748</v>
      </c>
      <c r="C347" s="212" t="s">
        <v>4244</v>
      </c>
      <c r="D347" s="212" t="str">
        <f t="shared" si="11"/>
        <v>CENTAR ZA SOCIJALNU SKRB HRVATSKA KOSTAJNICA (21748)</v>
      </c>
      <c r="E347" s="212" t="s">
        <v>4245</v>
      </c>
      <c r="F347" s="212" t="s">
        <v>4246</v>
      </c>
      <c r="G347" s="213">
        <v>2883287</v>
      </c>
      <c r="H347" s="214" t="s">
        <v>4247</v>
      </c>
      <c r="J347" s="204"/>
    </row>
    <row r="348" spans="1:10" ht="15" customHeight="1">
      <c r="A348" s="210">
        <f t="shared" si="10"/>
        <v>345</v>
      </c>
      <c r="B348" s="211">
        <v>6398</v>
      </c>
      <c r="C348" s="212" t="s">
        <v>4248</v>
      </c>
      <c r="D348" s="212" t="str">
        <f t="shared" si="11"/>
        <v>CENTAR ZA SOCIJALNU SKRB IMOTSKI (6398)</v>
      </c>
      <c r="E348" s="212" t="s">
        <v>4249</v>
      </c>
      <c r="F348" s="212" t="s">
        <v>4250</v>
      </c>
      <c r="G348" s="213">
        <v>2882698</v>
      </c>
      <c r="H348" s="214" t="s">
        <v>4251</v>
      </c>
      <c r="J348" s="204"/>
    </row>
    <row r="349" spans="1:10" ht="15" customHeight="1">
      <c r="A349" s="210">
        <f t="shared" si="10"/>
        <v>346</v>
      </c>
      <c r="B349" s="211">
        <v>6402</v>
      </c>
      <c r="C349" s="212" t="s">
        <v>4252</v>
      </c>
      <c r="D349" s="212" t="str">
        <f t="shared" si="11"/>
        <v>CENTAR ZA SOCIJALNU SKRB IVANEC (6402)</v>
      </c>
      <c r="E349" s="212" t="s">
        <v>4253</v>
      </c>
      <c r="F349" s="212" t="s">
        <v>4254</v>
      </c>
      <c r="G349" s="213">
        <v>2872641</v>
      </c>
      <c r="H349" s="214" t="s">
        <v>4255</v>
      </c>
      <c r="J349" s="204"/>
    </row>
    <row r="350" spans="1:10" ht="15" customHeight="1">
      <c r="A350" s="210">
        <f t="shared" si="10"/>
        <v>347</v>
      </c>
      <c r="B350" s="211">
        <v>6419</v>
      </c>
      <c r="C350" s="212" t="s">
        <v>4256</v>
      </c>
      <c r="D350" s="212" t="str">
        <f t="shared" si="11"/>
        <v>CENTAR ZA SOCIJALNU SKRB IVANIĆ GRAD (6419)</v>
      </c>
      <c r="E350" s="212" t="s">
        <v>4257</v>
      </c>
      <c r="F350" s="212" t="s">
        <v>4258</v>
      </c>
      <c r="G350" s="213">
        <v>2873079</v>
      </c>
      <c r="H350" s="214" t="s">
        <v>4259</v>
      </c>
      <c r="J350" s="204"/>
    </row>
    <row r="351" spans="1:10" ht="15" customHeight="1">
      <c r="A351" s="210">
        <f t="shared" si="10"/>
        <v>348</v>
      </c>
      <c r="B351" s="211">
        <v>6427</v>
      </c>
      <c r="C351" s="212" t="s">
        <v>4260</v>
      </c>
      <c r="D351" s="212" t="str">
        <f t="shared" si="11"/>
        <v>CENTAR ZA SOCIJALNU SKRB JASTREBARSKO (6427)</v>
      </c>
      <c r="E351" s="212" t="s">
        <v>4261</v>
      </c>
      <c r="F351" s="212" t="s">
        <v>605</v>
      </c>
      <c r="G351" s="213">
        <v>2873087</v>
      </c>
      <c r="H351" s="214" t="s">
        <v>4262</v>
      </c>
      <c r="J351" s="204"/>
    </row>
    <row r="352" spans="1:10" ht="15" customHeight="1">
      <c r="A352" s="210">
        <f t="shared" si="10"/>
        <v>349</v>
      </c>
      <c r="B352" s="211">
        <v>6435</v>
      </c>
      <c r="C352" s="212" t="s">
        <v>4263</v>
      </c>
      <c r="D352" s="212" t="str">
        <f t="shared" si="11"/>
        <v>CENTAR ZA SOCIJALNU SKRB KARLOVAC (6435)</v>
      </c>
      <c r="E352" s="212" t="s">
        <v>4264</v>
      </c>
      <c r="F352" s="212" t="s">
        <v>514</v>
      </c>
      <c r="G352" s="213">
        <v>2882981</v>
      </c>
      <c r="H352" s="214" t="s">
        <v>4265</v>
      </c>
      <c r="J352" s="204"/>
    </row>
    <row r="353" spans="1:10" ht="15" customHeight="1">
      <c r="A353" s="210">
        <f t="shared" si="10"/>
        <v>350</v>
      </c>
      <c r="B353" s="211">
        <v>21730</v>
      </c>
      <c r="C353" s="212" t="s">
        <v>4266</v>
      </c>
      <c r="D353" s="212" t="str">
        <f t="shared" si="11"/>
        <v>CENTAR ZA SOCIJALNU SKRB KNIN (21730)</v>
      </c>
      <c r="E353" s="212" t="s">
        <v>4267</v>
      </c>
      <c r="F353" s="212" t="s">
        <v>506</v>
      </c>
      <c r="G353" s="213">
        <v>2882035</v>
      </c>
      <c r="H353" s="214" t="s">
        <v>4268</v>
      </c>
      <c r="J353" s="204"/>
    </row>
    <row r="354" spans="1:10" ht="15" customHeight="1">
      <c r="A354" s="210">
        <f t="shared" si="10"/>
        <v>351</v>
      </c>
      <c r="B354" s="211">
        <v>6451</v>
      </c>
      <c r="C354" s="212" t="s">
        <v>4269</v>
      </c>
      <c r="D354" s="212" t="str">
        <f t="shared" si="11"/>
        <v>CENTAR ZA SOCIJALNU SKRB KOPRIVNICA (6451)</v>
      </c>
      <c r="E354" s="212" t="s">
        <v>4270</v>
      </c>
      <c r="F354" s="212" t="s">
        <v>310</v>
      </c>
      <c r="G354" s="213">
        <v>2873290</v>
      </c>
      <c r="H354" s="214" t="s">
        <v>4271</v>
      </c>
      <c r="J354" s="204"/>
    </row>
    <row r="355" spans="1:10" ht="15" customHeight="1">
      <c r="A355" s="210">
        <f t="shared" si="10"/>
        <v>352</v>
      </c>
      <c r="B355" s="211">
        <v>6460</v>
      </c>
      <c r="C355" s="212" t="s">
        <v>4272</v>
      </c>
      <c r="D355" s="212" t="str">
        <f t="shared" si="11"/>
        <v>CENTAR ZA SOCIJALNU SKRB KORČULA (6460)</v>
      </c>
      <c r="E355" s="212" t="s">
        <v>4273</v>
      </c>
      <c r="F355" s="212" t="s">
        <v>4274</v>
      </c>
      <c r="G355" s="213">
        <v>2882329</v>
      </c>
      <c r="H355" s="214" t="s">
        <v>4275</v>
      </c>
      <c r="J355" s="204"/>
    </row>
    <row r="356" spans="1:10" ht="15" customHeight="1">
      <c r="A356" s="210">
        <f t="shared" si="10"/>
        <v>353</v>
      </c>
      <c r="B356" s="211">
        <v>6478</v>
      </c>
      <c r="C356" s="212" t="s">
        <v>4276</v>
      </c>
      <c r="D356" s="212" t="str">
        <f t="shared" si="11"/>
        <v>CENTAR ZA SOCIJALNU SKRB KRAPINA (6478)</v>
      </c>
      <c r="E356" s="212" t="s">
        <v>4277</v>
      </c>
      <c r="F356" s="212" t="s">
        <v>1731</v>
      </c>
      <c r="G356" s="213">
        <v>2877465</v>
      </c>
      <c r="H356" s="214" t="s">
        <v>4278</v>
      </c>
      <c r="J356" s="204"/>
    </row>
    <row r="357" spans="1:10" ht="15" customHeight="1">
      <c r="A357" s="210">
        <f t="shared" si="10"/>
        <v>354</v>
      </c>
      <c r="B357" s="211">
        <v>6486</v>
      </c>
      <c r="C357" s="212" t="s">
        <v>4279</v>
      </c>
      <c r="D357" s="212" t="str">
        <f t="shared" si="11"/>
        <v>CENTAR ZA SOCIJALNU SKRB KRIŽEVCI (6486)</v>
      </c>
      <c r="E357" s="212" t="s">
        <v>4280</v>
      </c>
      <c r="F357" s="212" t="s">
        <v>532</v>
      </c>
      <c r="G357" s="213">
        <v>2873281</v>
      </c>
      <c r="H357" s="214" t="s">
        <v>4281</v>
      </c>
      <c r="J357" s="204"/>
    </row>
    <row r="358" spans="1:10" ht="15" customHeight="1">
      <c r="A358" s="210">
        <f t="shared" si="10"/>
        <v>355</v>
      </c>
      <c r="B358" s="211">
        <v>6494</v>
      </c>
      <c r="C358" s="212" t="s">
        <v>4282</v>
      </c>
      <c r="D358" s="212" t="str">
        <f t="shared" si="11"/>
        <v>CENTAR ZA SOCIJALNU SKRB KRK (6494)</v>
      </c>
      <c r="E358" s="212" t="s">
        <v>4283</v>
      </c>
      <c r="F358" s="212" t="s">
        <v>4284</v>
      </c>
      <c r="G358" s="213">
        <v>2883724</v>
      </c>
      <c r="H358" s="214" t="s">
        <v>4285</v>
      </c>
      <c r="J358" s="204"/>
    </row>
    <row r="359" spans="1:10" ht="15" customHeight="1">
      <c r="A359" s="210">
        <f t="shared" si="10"/>
        <v>356</v>
      </c>
      <c r="B359" s="211">
        <v>6509</v>
      </c>
      <c r="C359" s="212" t="s">
        <v>4286</v>
      </c>
      <c r="D359" s="212" t="str">
        <f t="shared" si="11"/>
        <v>CENTAR ZA SOCIJALNU SKRB KUTINA (6509)</v>
      </c>
      <c r="E359" s="212" t="s">
        <v>4287</v>
      </c>
      <c r="F359" s="212" t="s">
        <v>4288</v>
      </c>
      <c r="G359" s="213">
        <v>2883252</v>
      </c>
      <c r="H359" s="214" t="s">
        <v>4289</v>
      </c>
      <c r="J359" s="204"/>
    </row>
    <row r="360" spans="1:10" ht="15" customHeight="1">
      <c r="A360" s="210">
        <f t="shared" si="10"/>
        <v>357</v>
      </c>
      <c r="B360" s="211">
        <v>6517</v>
      </c>
      <c r="C360" s="212" t="s">
        <v>4290</v>
      </c>
      <c r="D360" s="212" t="str">
        <f t="shared" si="11"/>
        <v>CENTAR ZA SOCIJALNU SKRB LABIN (6517)</v>
      </c>
      <c r="E360" s="212" t="s">
        <v>4291</v>
      </c>
      <c r="F360" s="212" t="s">
        <v>4292</v>
      </c>
      <c r="G360" s="213">
        <v>2883368</v>
      </c>
      <c r="H360" s="214" t="s">
        <v>4293</v>
      </c>
      <c r="J360" s="204"/>
    </row>
    <row r="361" spans="1:10" ht="15" customHeight="1">
      <c r="A361" s="210">
        <f t="shared" si="10"/>
        <v>358</v>
      </c>
      <c r="B361" s="211">
        <v>6525</v>
      </c>
      <c r="C361" s="212" t="s">
        <v>4294</v>
      </c>
      <c r="D361" s="212" t="str">
        <f t="shared" si="11"/>
        <v>CENTAR ZA SOCIJALNU SKRB LUDBREG (6525)</v>
      </c>
      <c r="E361" s="212" t="s">
        <v>4295</v>
      </c>
      <c r="F361" s="212" t="s">
        <v>4296</v>
      </c>
      <c r="G361" s="213">
        <v>2872633</v>
      </c>
      <c r="H361" s="214" t="s">
        <v>4297</v>
      </c>
      <c r="J361" s="204"/>
    </row>
    <row r="362" spans="1:10" ht="15" customHeight="1">
      <c r="A362" s="210">
        <f t="shared" si="10"/>
        <v>359</v>
      </c>
      <c r="B362" s="211">
        <v>6533</v>
      </c>
      <c r="C362" s="212" t="s">
        <v>4298</v>
      </c>
      <c r="D362" s="212" t="str">
        <f t="shared" si="11"/>
        <v>CENTAR ZA SOCIJALNU SKRB MAKARSKA (6533)</v>
      </c>
      <c r="E362" s="212" t="s">
        <v>4299</v>
      </c>
      <c r="F362" s="212" t="s">
        <v>3946</v>
      </c>
      <c r="G362" s="213">
        <v>2882744</v>
      </c>
      <c r="H362" s="214" t="s">
        <v>4300</v>
      </c>
      <c r="J362" s="204"/>
    </row>
    <row r="363" spans="1:10" ht="15" customHeight="1">
      <c r="A363" s="210">
        <f t="shared" si="10"/>
        <v>360</v>
      </c>
      <c r="B363" s="211">
        <v>6550</v>
      </c>
      <c r="C363" s="212" t="s">
        <v>4301</v>
      </c>
      <c r="D363" s="212" t="str">
        <f t="shared" si="11"/>
        <v>CENTAR ZA SOCIJALNU SKRB METKOVIĆ  (6550)</v>
      </c>
      <c r="E363" s="212" t="s">
        <v>4302</v>
      </c>
      <c r="F363" s="212" t="s">
        <v>4303</v>
      </c>
      <c r="G363" s="213">
        <v>2882337</v>
      </c>
      <c r="H363" s="214" t="s">
        <v>4304</v>
      </c>
      <c r="J363" s="204"/>
    </row>
    <row r="364" spans="1:10" ht="15" customHeight="1">
      <c r="A364" s="210">
        <f t="shared" si="10"/>
        <v>361</v>
      </c>
      <c r="B364" s="211">
        <v>6568</v>
      </c>
      <c r="C364" s="212" t="s">
        <v>4305</v>
      </c>
      <c r="D364" s="212" t="str">
        <f t="shared" si="11"/>
        <v>CENTAR ZA SOCIJALNU SKRB NAŠICE (6568)</v>
      </c>
      <c r="E364" s="212" t="s">
        <v>4026</v>
      </c>
      <c r="F364" s="212" t="s">
        <v>4306</v>
      </c>
      <c r="G364" s="213">
        <v>2872684</v>
      </c>
      <c r="H364" s="214" t="s">
        <v>4307</v>
      </c>
      <c r="J364" s="204"/>
    </row>
    <row r="365" spans="1:10" ht="15" customHeight="1">
      <c r="A365" s="210">
        <f t="shared" si="10"/>
        <v>362</v>
      </c>
      <c r="B365" s="211">
        <v>6576</v>
      </c>
      <c r="C365" s="212" t="s">
        <v>4308</v>
      </c>
      <c r="D365" s="212" t="str">
        <f t="shared" si="11"/>
        <v>CENTAR ZA SOCIJALNU SKRB NOVA GRADIŠKA (6576)</v>
      </c>
      <c r="E365" s="212" t="s">
        <v>4309</v>
      </c>
      <c r="F365" s="212" t="s">
        <v>4310</v>
      </c>
      <c r="G365" s="213">
        <v>2872439</v>
      </c>
      <c r="H365" s="214" t="s">
        <v>4311</v>
      </c>
      <c r="J365" s="204"/>
    </row>
    <row r="366" spans="1:10" ht="15" customHeight="1">
      <c r="A366" s="210">
        <f t="shared" si="10"/>
        <v>363</v>
      </c>
      <c r="B366" s="211">
        <v>6584</v>
      </c>
      <c r="C366" s="212" t="s">
        <v>4312</v>
      </c>
      <c r="D366" s="212" t="str">
        <f t="shared" si="11"/>
        <v>CENTAR ZA SOCIJALNU SKRB NOVI MAROF (6584)</v>
      </c>
      <c r="E366" s="212" t="s">
        <v>4313</v>
      </c>
      <c r="F366" s="212" t="s">
        <v>4314</v>
      </c>
      <c r="G366" s="213">
        <v>2872625</v>
      </c>
      <c r="H366" s="214" t="s">
        <v>4315</v>
      </c>
      <c r="J366" s="204"/>
    </row>
    <row r="367" spans="1:10" ht="15" customHeight="1">
      <c r="A367" s="210">
        <f t="shared" si="10"/>
        <v>364</v>
      </c>
      <c r="B367" s="211">
        <v>6592</v>
      </c>
      <c r="C367" s="212" t="s">
        <v>4316</v>
      </c>
      <c r="D367" s="212" t="str">
        <f t="shared" si="11"/>
        <v>CENTAR ZA SOCIJALNU SKRB NOVSKA (6592)</v>
      </c>
      <c r="E367" s="212" t="s">
        <v>4317</v>
      </c>
      <c r="F367" s="212" t="s">
        <v>4318</v>
      </c>
      <c r="G367" s="213">
        <v>2883279</v>
      </c>
      <c r="H367" s="214" t="s">
        <v>4319</v>
      </c>
      <c r="J367" s="204"/>
    </row>
    <row r="368" spans="1:10" ht="15" customHeight="1">
      <c r="A368" s="210">
        <f t="shared" si="10"/>
        <v>365</v>
      </c>
      <c r="B368" s="211">
        <v>22890</v>
      </c>
      <c r="C368" s="212" t="s">
        <v>4320</v>
      </c>
      <c r="D368" s="212" t="str">
        <f t="shared" si="11"/>
        <v>CENTAR ZA SOCIJALNU SKRB OGULIN (22890)</v>
      </c>
      <c r="E368" s="212" t="s">
        <v>4321</v>
      </c>
      <c r="F368" s="212" t="s">
        <v>4322</v>
      </c>
      <c r="G368" s="213">
        <v>2883007</v>
      </c>
      <c r="H368" s="214" t="s">
        <v>4323</v>
      </c>
      <c r="J368" s="204"/>
    </row>
    <row r="369" spans="1:10" ht="15" customHeight="1">
      <c r="A369" s="210">
        <f t="shared" si="10"/>
        <v>366</v>
      </c>
      <c r="B369" s="211">
        <v>6613</v>
      </c>
      <c r="C369" s="212" t="s">
        <v>4324</v>
      </c>
      <c r="D369" s="212" t="str">
        <f t="shared" si="11"/>
        <v>CENTAR ZA SOCIJALNU SKRB OMIŠ (6613)</v>
      </c>
      <c r="E369" s="212" t="s">
        <v>4325</v>
      </c>
      <c r="F369" s="212" t="s">
        <v>4326</v>
      </c>
      <c r="G369" s="213">
        <v>2882728</v>
      </c>
      <c r="H369" s="214" t="s">
        <v>4327</v>
      </c>
      <c r="J369" s="204"/>
    </row>
    <row r="370" spans="1:10" ht="15" customHeight="1">
      <c r="A370" s="210">
        <f t="shared" si="10"/>
        <v>367</v>
      </c>
      <c r="B370" s="211">
        <v>6621</v>
      </c>
      <c r="C370" s="212" t="s">
        <v>4328</v>
      </c>
      <c r="D370" s="212" t="str">
        <f t="shared" si="11"/>
        <v>CENTAR ZA SOCIJALNU SKRB OPATIJA (6621)</v>
      </c>
      <c r="E370" s="212" t="s">
        <v>4329</v>
      </c>
      <c r="F370" s="212" t="s">
        <v>331</v>
      </c>
      <c r="G370" s="213">
        <v>2883716</v>
      </c>
      <c r="H370" s="214" t="s">
        <v>4330</v>
      </c>
      <c r="J370" s="204"/>
    </row>
    <row r="371" spans="1:10" ht="15" customHeight="1">
      <c r="A371" s="210">
        <f t="shared" si="10"/>
        <v>368</v>
      </c>
      <c r="B371" s="211">
        <v>6630</v>
      </c>
      <c r="C371" s="212" t="s">
        <v>4331</v>
      </c>
      <c r="D371" s="212" t="str">
        <f t="shared" si="11"/>
        <v>CENTAR ZA SOCIJALNU SKRB OSIJEK (6630)</v>
      </c>
      <c r="E371" s="212" t="s">
        <v>4332</v>
      </c>
      <c r="F371" s="212" t="s">
        <v>279</v>
      </c>
      <c r="G371" s="213">
        <v>2872676</v>
      </c>
      <c r="H371" s="214" t="s">
        <v>4333</v>
      </c>
      <c r="J371" s="204"/>
    </row>
    <row r="372" spans="1:10" ht="15" customHeight="1">
      <c r="A372" s="210">
        <f t="shared" si="10"/>
        <v>369</v>
      </c>
      <c r="B372" s="211">
        <v>6656</v>
      </c>
      <c r="C372" s="212" t="s">
        <v>4334</v>
      </c>
      <c r="D372" s="212" t="str">
        <f t="shared" si="11"/>
        <v>CENTAR ZA SOCIJALNU SKRB PAKRAC (6656)</v>
      </c>
      <c r="E372" s="212" t="s">
        <v>4335</v>
      </c>
      <c r="F372" s="212" t="s">
        <v>4336</v>
      </c>
      <c r="G372" s="213">
        <v>2873265</v>
      </c>
      <c r="H372" s="214" t="s">
        <v>4337</v>
      </c>
      <c r="J372" s="204"/>
    </row>
    <row r="373" spans="1:10" ht="15" customHeight="1">
      <c r="A373" s="210">
        <f t="shared" si="10"/>
        <v>370</v>
      </c>
      <c r="B373" s="211">
        <v>22111</v>
      </c>
      <c r="C373" s="212" t="s">
        <v>4338</v>
      </c>
      <c r="D373" s="212" t="str">
        <f t="shared" si="11"/>
        <v>CENTAR ZA SOCIJALNU SKRB PAZIN (22111)</v>
      </c>
      <c r="E373" s="212" t="s">
        <v>4339</v>
      </c>
      <c r="F373" s="212" t="s">
        <v>3679</v>
      </c>
      <c r="G373" s="213">
        <v>2883333</v>
      </c>
      <c r="H373" s="214" t="s">
        <v>4340</v>
      </c>
      <c r="J373" s="204"/>
    </row>
    <row r="374" spans="1:10" ht="15" customHeight="1">
      <c r="A374" s="210">
        <f t="shared" si="10"/>
        <v>371</v>
      </c>
      <c r="B374" s="211">
        <v>6672</v>
      </c>
      <c r="C374" s="212" t="s">
        <v>4341</v>
      </c>
      <c r="D374" s="212" t="str">
        <f t="shared" si="11"/>
        <v>CENTAR ZA SOCIJALNU SKRB PETRINJA (6672)</v>
      </c>
      <c r="E374" s="212" t="s">
        <v>4342</v>
      </c>
      <c r="F374" s="212" t="s">
        <v>4343</v>
      </c>
      <c r="G374" s="213">
        <v>2883244</v>
      </c>
      <c r="H374" s="214" t="s">
        <v>4344</v>
      </c>
      <c r="J374" s="204"/>
    </row>
    <row r="375" spans="1:10" ht="15" customHeight="1">
      <c r="A375" s="210">
        <f t="shared" si="10"/>
        <v>372</v>
      </c>
      <c r="B375" s="211">
        <v>6961</v>
      </c>
      <c r="C375" s="212" t="s">
        <v>4345</v>
      </c>
      <c r="D375" s="212" t="str">
        <f t="shared" si="11"/>
        <v>CENTAR ZA SOCIJALNU SKRB PLOČE (6961)</v>
      </c>
      <c r="E375" s="212" t="s">
        <v>4346</v>
      </c>
      <c r="F375" s="212" t="s">
        <v>3875</v>
      </c>
      <c r="G375" s="213">
        <v>2882345</v>
      </c>
      <c r="H375" s="214" t="s">
        <v>4347</v>
      </c>
      <c r="J375" s="204"/>
    </row>
    <row r="376" spans="1:10" ht="15" customHeight="1">
      <c r="A376" s="210">
        <f t="shared" si="10"/>
        <v>373</v>
      </c>
      <c r="B376" s="211">
        <v>6697</v>
      </c>
      <c r="C376" s="212" t="s">
        <v>4348</v>
      </c>
      <c r="D376" s="212" t="str">
        <f t="shared" si="11"/>
        <v>CENTAR ZA SOCIJALNU SKRB POREČ (6697)</v>
      </c>
      <c r="E376" s="212" t="s">
        <v>4349</v>
      </c>
      <c r="F376" s="212" t="s">
        <v>592</v>
      </c>
      <c r="G376" s="213">
        <v>2883350</v>
      </c>
      <c r="H376" s="214" t="s">
        <v>4350</v>
      </c>
      <c r="J376" s="204"/>
    </row>
    <row r="377" spans="1:10" ht="15" customHeight="1">
      <c r="A377" s="210">
        <f t="shared" si="10"/>
        <v>374</v>
      </c>
      <c r="B377" s="211">
        <v>6777</v>
      </c>
      <c r="C377" s="212" t="s">
        <v>4351</v>
      </c>
      <c r="D377" s="212" t="str">
        <f t="shared" si="11"/>
        <v>CENTAR ZA SOCIJALNU SKRB POŽEGA (6777)</v>
      </c>
      <c r="E377" s="212" t="s">
        <v>4352</v>
      </c>
      <c r="F377" s="212" t="s">
        <v>518</v>
      </c>
      <c r="G377" s="213">
        <v>2873257</v>
      </c>
      <c r="H377" s="214" t="s">
        <v>4353</v>
      </c>
      <c r="J377" s="204"/>
    </row>
    <row r="378" spans="1:10" ht="15" customHeight="1">
      <c r="A378" s="210">
        <f t="shared" si="10"/>
        <v>375</v>
      </c>
      <c r="B378" s="211">
        <v>51749</v>
      </c>
      <c r="C378" s="212" t="s">
        <v>4354</v>
      </c>
      <c r="D378" s="212" t="str">
        <f t="shared" si="11"/>
        <v>CENTAR ZA SOCIJALNU SKRB PRELOG (51749)</v>
      </c>
      <c r="E378" s="212" t="s">
        <v>4355</v>
      </c>
      <c r="F378" s="212" t="s">
        <v>4356</v>
      </c>
      <c r="G378" s="213">
        <v>5344301</v>
      </c>
      <c r="H378" s="214" t="s">
        <v>4357</v>
      </c>
      <c r="J378" s="204"/>
    </row>
    <row r="379" spans="1:10" ht="15" customHeight="1">
      <c r="A379" s="210">
        <f>+A378+1</f>
        <v>376</v>
      </c>
      <c r="B379" s="211">
        <v>6701</v>
      </c>
      <c r="C379" s="212" t="s">
        <v>4358</v>
      </c>
      <c r="D379" s="212" t="str">
        <f t="shared" si="11"/>
        <v>CENTAR ZA SOCIJALNU SKRB PULA-POLA (6701)</v>
      </c>
      <c r="E379" s="212" t="s">
        <v>4359</v>
      </c>
      <c r="F379" s="212" t="s">
        <v>307</v>
      </c>
      <c r="G379" s="213">
        <v>2883384</v>
      </c>
      <c r="H379" s="214" t="s">
        <v>4360</v>
      </c>
      <c r="J379" s="204"/>
    </row>
    <row r="380" spans="1:10" ht="15" customHeight="1">
      <c r="A380" s="210">
        <f t="shared" ref="A380:A443" si="12">+A379+1</f>
        <v>377</v>
      </c>
      <c r="B380" s="211">
        <v>6710</v>
      </c>
      <c r="C380" s="212" t="s">
        <v>4361</v>
      </c>
      <c r="D380" s="212" t="str">
        <f t="shared" si="11"/>
        <v>CENTAR ZA SOCIJALNU SKRB RIJEKA (6710)</v>
      </c>
      <c r="E380" s="212" t="s">
        <v>4362</v>
      </c>
      <c r="F380" s="212" t="s">
        <v>321</v>
      </c>
      <c r="G380" s="213">
        <v>2883686</v>
      </c>
      <c r="H380" s="214" t="s">
        <v>4363</v>
      </c>
      <c r="J380" s="204"/>
    </row>
    <row r="381" spans="1:10" ht="15" customHeight="1">
      <c r="A381" s="210">
        <f t="shared" si="12"/>
        <v>378</v>
      </c>
      <c r="B381" s="211">
        <v>6728</v>
      </c>
      <c r="C381" s="212" t="s">
        <v>4364</v>
      </c>
      <c r="D381" s="212" t="str">
        <f t="shared" si="11"/>
        <v>CENTAR ZA SOCIJALNU SKRB ROVINJ (6728)</v>
      </c>
      <c r="E381" s="212" t="s">
        <v>4365</v>
      </c>
      <c r="F381" s="212" t="s">
        <v>4366</v>
      </c>
      <c r="G381" s="213">
        <v>2883376</v>
      </c>
      <c r="H381" s="214" t="s">
        <v>4367</v>
      </c>
      <c r="J381" s="204"/>
    </row>
    <row r="382" spans="1:10" ht="15" customHeight="1">
      <c r="A382" s="210">
        <f t="shared" si="12"/>
        <v>379</v>
      </c>
      <c r="B382" s="211">
        <v>6736</v>
      </c>
      <c r="C382" s="212" t="s">
        <v>4368</v>
      </c>
      <c r="D382" s="212" t="str">
        <f t="shared" si="11"/>
        <v>CENTAR ZA SOCIJALNU SKRB SAMOBOR (6736)</v>
      </c>
      <c r="E382" s="212" t="s">
        <v>4369</v>
      </c>
      <c r="F382" s="212" t="s">
        <v>4370</v>
      </c>
      <c r="G382" s="213">
        <v>2873109</v>
      </c>
      <c r="H382" s="214" t="s">
        <v>4371</v>
      </c>
      <c r="J382" s="204"/>
    </row>
    <row r="383" spans="1:10" ht="15" customHeight="1">
      <c r="A383" s="210">
        <f t="shared" si="12"/>
        <v>380</v>
      </c>
      <c r="B383" s="211">
        <v>6744</v>
      </c>
      <c r="C383" s="212" t="s">
        <v>4372</v>
      </c>
      <c r="D383" s="212" t="str">
        <f t="shared" si="11"/>
        <v>CENTAR ZA SOCIJALNU SKRB SENJ (6744)</v>
      </c>
      <c r="E383" s="212" t="s">
        <v>4373</v>
      </c>
      <c r="F383" s="212" t="s">
        <v>4374</v>
      </c>
      <c r="G383" s="213">
        <v>2883651</v>
      </c>
      <c r="H383" s="214" t="s">
        <v>4375</v>
      </c>
      <c r="J383" s="204"/>
    </row>
    <row r="384" spans="1:10" ht="15" customHeight="1">
      <c r="A384" s="210">
        <f t="shared" si="12"/>
        <v>381</v>
      </c>
      <c r="B384" s="211">
        <v>6752</v>
      </c>
      <c r="C384" s="212" t="s">
        <v>4376</v>
      </c>
      <c r="D384" s="212" t="str">
        <f t="shared" si="11"/>
        <v>CENTAR ZA SOCIJALNU SKRB SINJ (6752)</v>
      </c>
      <c r="E384" s="212" t="s">
        <v>4377</v>
      </c>
      <c r="F384" s="212" t="s">
        <v>4378</v>
      </c>
      <c r="G384" s="213">
        <v>2882710</v>
      </c>
      <c r="H384" s="214" t="s">
        <v>4379</v>
      </c>
      <c r="J384" s="204"/>
    </row>
    <row r="385" spans="1:10" ht="15" customHeight="1">
      <c r="A385" s="210">
        <f t="shared" si="12"/>
        <v>382</v>
      </c>
      <c r="B385" s="211">
        <v>6769</v>
      </c>
      <c r="C385" s="212" t="s">
        <v>4380</v>
      </c>
      <c r="D385" s="212" t="str">
        <f t="shared" si="11"/>
        <v>CENTAR ZA SOCIJALNU SKRB SISAK (6769)</v>
      </c>
      <c r="E385" s="212" t="s">
        <v>4381</v>
      </c>
      <c r="F385" s="212" t="s">
        <v>1727</v>
      </c>
      <c r="G385" s="213">
        <v>2883236</v>
      </c>
      <c r="H385" s="214" t="s">
        <v>4382</v>
      </c>
      <c r="J385" s="204"/>
    </row>
    <row r="386" spans="1:10" ht="15" customHeight="1">
      <c r="A386" s="210">
        <f t="shared" si="12"/>
        <v>383</v>
      </c>
      <c r="B386" s="211">
        <v>6689</v>
      </c>
      <c r="C386" s="212" t="s">
        <v>4383</v>
      </c>
      <c r="D386" s="212" t="str">
        <f t="shared" si="11"/>
        <v>CENTAR ZA SOCIJALNU SKRB SLATINA (6689)</v>
      </c>
      <c r="E386" s="212" t="s">
        <v>4384</v>
      </c>
      <c r="F386" s="212" t="s">
        <v>4385</v>
      </c>
      <c r="G386" s="213">
        <v>2873028</v>
      </c>
      <c r="H386" s="214" t="s">
        <v>4386</v>
      </c>
      <c r="J386" s="204"/>
    </row>
    <row r="387" spans="1:10" ht="15" customHeight="1">
      <c r="A387" s="210">
        <f t="shared" si="12"/>
        <v>384</v>
      </c>
      <c r="B387" s="211">
        <v>6785</v>
      </c>
      <c r="C387" s="212" t="s">
        <v>4387</v>
      </c>
      <c r="D387" s="212" t="str">
        <f t="shared" si="11"/>
        <v>CENTAR ZA SOCIJALNU SKRB SLAVONSKI BROD (6785)</v>
      </c>
      <c r="E387" s="212" t="s">
        <v>4388</v>
      </c>
      <c r="F387" s="212" t="s">
        <v>1772</v>
      </c>
      <c r="G387" s="213">
        <v>2872412</v>
      </c>
      <c r="H387" s="214" t="s">
        <v>4389</v>
      </c>
      <c r="J387" s="204"/>
    </row>
    <row r="388" spans="1:10" ht="15" customHeight="1">
      <c r="A388" s="210">
        <f t="shared" si="12"/>
        <v>385</v>
      </c>
      <c r="B388" s="211">
        <v>19931</v>
      </c>
      <c r="C388" s="212" t="s">
        <v>4390</v>
      </c>
      <c r="D388" s="212" t="str">
        <f t="shared" ref="D388:D451" si="13">C388&amp;" ("&amp;B388&amp;")"</f>
        <v>CENTAR ZA SOCIJALNU SKRB SLUNJ (19931)</v>
      </c>
      <c r="E388" s="212" t="s">
        <v>4391</v>
      </c>
      <c r="F388" s="212" t="s">
        <v>4392</v>
      </c>
      <c r="G388" s="213">
        <v>2882990</v>
      </c>
      <c r="H388" s="214" t="s">
        <v>4393</v>
      </c>
      <c r="J388" s="204"/>
    </row>
    <row r="389" spans="1:10" ht="15" customHeight="1">
      <c r="A389" s="210">
        <f t="shared" si="12"/>
        <v>386</v>
      </c>
      <c r="B389" s="211">
        <v>6890</v>
      </c>
      <c r="C389" s="212" t="s">
        <v>4394</v>
      </c>
      <c r="D389" s="212" t="str">
        <f t="shared" si="13"/>
        <v>CENTAR ZA SOCIJALNU SKRB SPLIT (6890)</v>
      </c>
      <c r="E389" s="212" t="s">
        <v>4395</v>
      </c>
      <c r="F389" s="212" t="s">
        <v>361</v>
      </c>
      <c r="G389" s="213">
        <v>2882752</v>
      </c>
      <c r="H389" s="214" t="s">
        <v>4396</v>
      </c>
      <c r="J389" s="204"/>
    </row>
    <row r="390" spans="1:10" ht="15" customHeight="1">
      <c r="A390" s="210">
        <f t="shared" si="12"/>
        <v>387</v>
      </c>
      <c r="B390" s="211">
        <v>6937</v>
      </c>
      <c r="C390" s="212" t="s">
        <v>4397</v>
      </c>
      <c r="D390" s="212" t="str">
        <f t="shared" si="13"/>
        <v>CENTAR ZA SOCIJALNU SKRB SVETI IVAN ZELINA  (6937)</v>
      </c>
      <c r="E390" s="212" t="s">
        <v>4398</v>
      </c>
      <c r="F390" s="212" t="s">
        <v>4399</v>
      </c>
      <c r="G390" s="213">
        <v>2873052</v>
      </c>
      <c r="H390" s="214" t="s">
        <v>4400</v>
      </c>
      <c r="J390" s="204"/>
    </row>
    <row r="391" spans="1:10" ht="15" customHeight="1">
      <c r="A391" s="210">
        <f t="shared" si="12"/>
        <v>388</v>
      </c>
      <c r="B391" s="211">
        <v>6793</v>
      </c>
      <c r="C391" s="212" t="s">
        <v>4401</v>
      </c>
      <c r="D391" s="212" t="str">
        <f t="shared" si="13"/>
        <v>CENTAR ZA SOCIJALNU SKRB ŠIBENIK (6793)</v>
      </c>
      <c r="E391" s="212" t="s">
        <v>4402</v>
      </c>
      <c r="F391" s="212" t="s">
        <v>525</v>
      </c>
      <c r="G391" s="213">
        <v>2882019</v>
      </c>
      <c r="H391" s="214" t="s">
        <v>4403</v>
      </c>
      <c r="J391" s="204"/>
    </row>
    <row r="392" spans="1:10" ht="15" customHeight="1">
      <c r="A392" s="210">
        <f t="shared" si="12"/>
        <v>389</v>
      </c>
      <c r="B392" s="211">
        <v>6808</v>
      </c>
      <c r="C392" s="212" t="s">
        <v>4404</v>
      </c>
      <c r="D392" s="212" t="str">
        <f t="shared" si="13"/>
        <v>CENTAR ZA SOCIJALNU SKRB TROGIR (6808)</v>
      </c>
      <c r="E392" s="212" t="s">
        <v>4405</v>
      </c>
      <c r="F392" s="212" t="s">
        <v>4406</v>
      </c>
      <c r="G392" s="213">
        <v>2882701</v>
      </c>
      <c r="H392" s="214" t="s">
        <v>4407</v>
      </c>
      <c r="J392" s="204"/>
    </row>
    <row r="393" spans="1:10" ht="15" customHeight="1">
      <c r="A393" s="210">
        <f t="shared" si="12"/>
        <v>390</v>
      </c>
      <c r="B393" s="211">
        <v>6816</v>
      </c>
      <c r="C393" s="212" t="s">
        <v>4408</v>
      </c>
      <c r="D393" s="212" t="str">
        <f t="shared" si="13"/>
        <v>CENTAR ZA SOCIJALNU SKRB VALPOVO (6816)</v>
      </c>
      <c r="E393" s="212" t="s">
        <v>4409</v>
      </c>
      <c r="F393" s="212" t="s">
        <v>4410</v>
      </c>
      <c r="G393" s="213">
        <v>2872714</v>
      </c>
      <c r="H393" s="214" t="s">
        <v>4411</v>
      </c>
      <c r="J393" s="204"/>
    </row>
    <row r="394" spans="1:10" ht="15" customHeight="1">
      <c r="A394" s="210">
        <f t="shared" si="12"/>
        <v>391</v>
      </c>
      <c r="B394" s="211">
        <v>21981</v>
      </c>
      <c r="C394" s="212" t="s">
        <v>4412</v>
      </c>
      <c r="D394" s="212" t="str">
        <f t="shared" si="13"/>
        <v>CENTAR ZA SOCIJALNU SKRB VARAŽDIN (21981)</v>
      </c>
      <c r="E394" s="212" t="s">
        <v>4413</v>
      </c>
      <c r="F394" s="212" t="s">
        <v>446</v>
      </c>
      <c r="G394" s="213">
        <v>2872617</v>
      </c>
      <c r="H394" s="214" t="s">
        <v>4414</v>
      </c>
      <c r="J394" s="204"/>
    </row>
    <row r="395" spans="1:10" ht="15" customHeight="1">
      <c r="A395" s="210">
        <f t="shared" si="12"/>
        <v>392</v>
      </c>
      <c r="B395" s="211">
        <v>6832</v>
      </c>
      <c r="C395" s="212" t="s">
        <v>4415</v>
      </c>
      <c r="D395" s="212" t="str">
        <f t="shared" si="13"/>
        <v>CENTAR ZA SOCIJALNU SKRB VELIKA GORICA  (6832)</v>
      </c>
      <c r="E395" s="212" t="s">
        <v>4416</v>
      </c>
      <c r="F395" s="212" t="s">
        <v>3593</v>
      </c>
      <c r="G395" s="213">
        <v>2873117</v>
      </c>
      <c r="H395" s="214" t="s">
        <v>4417</v>
      </c>
      <c r="J395" s="204"/>
    </row>
    <row r="396" spans="1:10" ht="15" customHeight="1">
      <c r="A396" s="210">
        <f t="shared" si="12"/>
        <v>393</v>
      </c>
      <c r="B396" s="211">
        <v>6849</v>
      </c>
      <c r="C396" s="212" t="s">
        <v>4418</v>
      </c>
      <c r="D396" s="212" t="str">
        <f t="shared" si="13"/>
        <v>CENTAR ZA SOCIJALNU SKRB VINKOVCI (6849)</v>
      </c>
      <c r="E396" s="212" t="s">
        <v>4419</v>
      </c>
      <c r="F396" s="212" t="s">
        <v>4420</v>
      </c>
      <c r="G396" s="213">
        <v>2872803</v>
      </c>
      <c r="H396" s="214" t="s">
        <v>4421</v>
      </c>
      <c r="J396" s="204"/>
    </row>
    <row r="397" spans="1:10" ht="15" customHeight="1">
      <c r="A397" s="210">
        <f t="shared" si="12"/>
        <v>394</v>
      </c>
      <c r="B397" s="211">
        <v>6857</v>
      </c>
      <c r="C397" s="212" t="s">
        <v>4422</v>
      </c>
      <c r="D397" s="212" t="str">
        <f t="shared" si="13"/>
        <v>CENTAR ZA SOCIJALNU SKRB VIROVITICA (6857)</v>
      </c>
      <c r="E397" s="212" t="s">
        <v>4423</v>
      </c>
      <c r="F397" s="212" t="s">
        <v>528</v>
      </c>
      <c r="G397" s="213">
        <v>2873010</v>
      </c>
      <c r="H397" s="214" t="s">
        <v>4424</v>
      </c>
      <c r="J397" s="204"/>
    </row>
    <row r="398" spans="1:10" ht="15" customHeight="1">
      <c r="A398" s="210">
        <f t="shared" si="12"/>
        <v>395</v>
      </c>
      <c r="B398" s="211">
        <v>6873</v>
      </c>
      <c r="C398" s="212" t="s">
        <v>4425</v>
      </c>
      <c r="D398" s="212" t="str">
        <f t="shared" si="13"/>
        <v>CENTAR ZA SOCIJALNU SKRB VRBOVEC (6873)</v>
      </c>
      <c r="E398" s="212" t="s">
        <v>4426</v>
      </c>
      <c r="F398" s="212" t="s">
        <v>4427</v>
      </c>
      <c r="G398" s="213">
        <v>2873044</v>
      </c>
      <c r="H398" s="214" t="s">
        <v>4428</v>
      </c>
      <c r="J398" s="204"/>
    </row>
    <row r="399" spans="1:10" ht="15" customHeight="1">
      <c r="A399" s="210">
        <f t="shared" si="12"/>
        <v>396</v>
      </c>
      <c r="B399" s="211">
        <v>22259</v>
      </c>
      <c r="C399" s="212" t="s">
        <v>4429</v>
      </c>
      <c r="D399" s="212" t="str">
        <f t="shared" si="13"/>
        <v>CENTAR ZA SOCIJALNU SKRB VUKOVAR (22259)</v>
      </c>
      <c r="E399" s="212" t="s">
        <v>4430</v>
      </c>
      <c r="F399" s="212" t="s">
        <v>502</v>
      </c>
      <c r="G399" s="213">
        <v>2872820</v>
      </c>
      <c r="H399" s="214" t="s">
        <v>4431</v>
      </c>
      <c r="J399" s="204"/>
    </row>
    <row r="400" spans="1:10" ht="15" customHeight="1">
      <c r="A400" s="210">
        <f t="shared" si="12"/>
        <v>397</v>
      </c>
      <c r="B400" s="211">
        <v>6881</v>
      </c>
      <c r="C400" s="212" t="s">
        <v>4432</v>
      </c>
      <c r="D400" s="212" t="str">
        <f t="shared" si="13"/>
        <v>CENTAR ZA SOCIJALNU SKRB ZABOK (6881)</v>
      </c>
      <c r="E400" s="212" t="s">
        <v>4433</v>
      </c>
      <c r="F400" s="212" t="s">
        <v>4434</v>
      </c>
      <c r="G400" s="213">
        <v>2877473</v>
      </c>
      <c r="H400" s="214" t="s">
        <v>4435</v>
      </c>
      <c r="J400" s="204"/>
    </row>
    <row r="401" spans="1:10" ht="15" customHeight="1">
      <c r="A401" s="210">
        <f t="shared" si="12"/>
        <v>398</v>
      </c>
      <c r="B401" s="211">
        <v>6912</v>
      </c>
      <c r="C401" s="212" t="s">
        <v>4436</v>
      </c>
      <c r="D401" s="212" t="str">
        <f t="shared" si="13"/>
        <v>CENTAR ZA SOCIJALNU SKRB ZADAR (6912)</v>
      </c>
      <c r="E401" s="212" t="s">
        <v>3765</v>
      </c>
      <c r="F401" s="212" t="s">
        <v>317</v>
      </c>
      <c r="G401" s="213">
        <v>2884313</v>
      </c>
      <c r="H401" s="214" t="s">
        <v>4437</v>
      </c>
      <c r="J401" s="204"/>
    </row>
    <row r="402" spans="1:10" ht="15" customHeight="1">
      <c r="A402" s="210">
        <f t="shared" si="12"/>
        <v>399</v>
      </c>
      <c r="B402" s="211">
        <v>22550</v>
      </c>
      <c r="C402" s="212" t="s">
        <v>4438</v>
      </c>
      <c r="D402" s="212" t="str">
        <f t="shared" si="13"/>
        <v>CENTAR ZA SOCIJALNU SKRB ZAGREB (22550)</v>
      </c>
      <c r="E402" s="212" t="s">
        <v>4439</v>
      </c>
      <c r="F402" s="212" t="s">
        <v>276</v>
      </c>
      <c r="G402" s="213">
        <v>2874440</v>
      </c>
      <c r="H402" s="214" t="s">
        <v>4440</v>
      </c>
      <c r="J402" s="204"/>
    </row>
    <row r="403" spans="1:10" ht="15" customHeight="1">
      <c r="A403" s="210">
        <f t="shared" si="12"/>
        <v>400</v>
      </c>
      <c r="B403" s="211">
        <v>6929</v>
      </c>
      <c r="C403" s="212" t="s">
        <v>4441</v>
      </c>
      <c r="D403" s="212" t="str">
        <f t="shared" si="13"/>
        <v>CENTAR ZA SOCIJALNU SKRB ZAPREŠIĆ (6929)</v>
      </c>
      <c r="E403" s="212" t="s">
        <v>4442</v>
      </c>
      <c r="F403" s="212" t="s">
        <v>4443</v>
      </c>
      <c r="G403" s="213">
        <v>2873095</v>
      </c>
      <c r="H403" s="214" t="s">
        <v>4444</v>
      </c>
      <c r="J403" s="204"/>
    </row>
    <row r="404" spans="1:10" ht="15" customHeight="1">
      <c r="A404" s="210">
        <f t="shared" si="12"/>
        <v>401</v>
      </c>
      <c r="B404" s="211">
        <v>6945</v>
      </c>
      <c r="C404" s="212" t="s">
        <v>4445</v>
      </c>
      <c r="D404" s="212" t="str">
        <f t="shared" si="13"/>
        <v>CENTAR ZA SOCIJALNU SKRB ZLATAR BISTRICA (6945)</v>
      </c>
      <c r="E404" s="212" t="s">
        <v>4446</v>
      </c>
      <c r="F404" s="212" t="s">
        <v>4447</v>
      </c>
      <c r="G404" s="213">
        <v>2877449</v>
      </c>
      <c r="H404" s="214" t="s">
        <v>4448</v>
      </c>
      <c r="J404" s="204"/>
    </row>
    <row r="405" spans="1:10" ht="15" customHeight="1">
      <c r="A405" s="210">
        <f t="shared" si="12"/>
        <v>402</v>
      </c>
      <c r="B405" s="211">
        <v>6953</v>
      </c>
      <c r="C405" s="212" t="s">
        <v>4449</v>
      </c>
      <c r="D405" s="212" t="str">
        <f t="shared" si="13"/>
        <v>CENTAR ZA SOCIJALNU SKRB ŽUPANJA (6953)</v>
      </c>
      <c r="E405" s="212" t="s">
        <v>4450</v>
      </c>
      <c r="F405" s="212" t="s">
        <v>4451</v>
      </c>
      <c r="G405" s="213">
        <v>2872811</v>
      </c>
      <c r="H405" s="214" t="s">
        <v>4452</v>
      </c>
      <c r="J405" s="204"/>
    </row>
    <row r="406" spans="1:10" ht="15" customHeight="1">
      <c r="A406" s="210">
        <f t="shared" si="12"/>
        <v>403</v>
      </c>
      <c r="B406" s="211">
        <v>7122</v>
      </c>
      <c r="C406" s="212" t="s">
        <v>4453</v>
      </c>
      <c r="D406" s="212" t="str">
        <f t="shared" si="13"/>
        <v>DJEČJI DOM "IVANA BRLIĆ MAŽURANIĆ" LOVRAN (7122)</v>
      </c>
      <c r="E406" s="212" t="s">
        <v>4454</v>
      </c>
      <c r="F406" s="212" t="s">
        <v>3973</v>
      </c>
      <c r="G406" s="213">
        <v>3090353</v>
      </c>
      <c r="H406" s="214" t="s">
        <v>4455</v>
      </c>
      <c r="J406" s="204"/>
    </row>
    <row r="407" spans="1:10" ht="15" customHeight="1">
      <c r="A407" s="210">
        <f t="shared" si="12"/>
        <v>404</v>
      </c>
      <c r="B407" s="211">
        <v>7202</v>
      </c>
      <c r="C407" s="212" t="s">
        <v>4456</v>
      </c>
      <c r="D407" s="212" t="str">
        <f t="shared" si="13"/>
        <v>DJEČJI DOM SV. ANA, VINKOVCI (7202)</v>
      </c>
      <c r="E407" s="212" t="s">
        <v>4457</v>
      </c>
      <c r="F407" s="212" t="s">
        <v>4458</v>
      </c>
      <c r="G407" s="213">
        <v>3367819</v>
      </c>
      <c r="H407" s="214" t="s">
        <v>4459</v>
      </c>
      <c r="J407" s="204"/>
    </row>
    <row r="408" spans="1:10" ht="15" customHeight="1">
      <c r="A408" s="210">
        <f t="shared" si="12"/>
        <v>405</v>
      </c>
      <c r="B408" s="211">
        <v>7171</v>
      </c>
      <c r="C408" s="212" t="s">
        <v>4460</v>
      </c>
      <c r="D408" s="212" t="str">
        <f t="shared" si="13"/>
        <v>DJEČJI DOM VRBINA SISAK (7171)</v>
      </c>
      <c r="E408" s="212" t="s">
        <v>4461</v>
      </c>
      <c r="F408" s="212" t="s">
        <v>1727</v>
      </c>
      <c r="G408" s="213">
        <v>3313964</v>
      </c>
      <c r="H408" s="214" t="s">
        <v>4462</v>
      </c>
      <c r="J408" s="204"/>
    </row>
    <row r="409" spans="1:10" ht="15" customHeight="1">
      <c r="A409" s="210">
        <f t="shared" si="12"/>
        <v>406</v>
      </c>
      <c r="B409" s="211">
        <v>7376</v>
      </c>
      <c r="C409" s="212" t="s">
        <v>4463</v>
      </c>
      <c r="D409" s="212" t="str">
        <f t="shared" si="13"/>
        <v>DNEVNI CENTAR ZA REHABILITACIJU SLAVA RAŠKAJ (7376)</v>
      </c>
      <c r="E409" s="212" t="s">
        <v>4464</v>
      </c>
      <c r="F409" s="212" t="s">
        <v>321</v>
      </c>
      <c r="G409" s="213">
        <v>3321266</v>
      </c>
      <c r="H409" s="214" t="s">
        <v>4465</v>
      </c>
      <c r="J409" s="204"/>
    </row>
    <row r="410" spans="1:10" ht="15" customHeight="1">
      <c r="A410" s="210">
        <f t="shared" si="12"/>
        <v>407</v>
      </c>
      <c r="B410" s="211">
        <v>7665</v>
      </c>
      <c r="C410" s="212" t="s">
        <v>4466</v>
      </c>
      <c r="D410" s="212" t="str">
        <f t="shared" si="13"/>
        <v>DOM ZA ODRASLE OSOBE LOBOR-GRAD (7665)</v>
      </c>
      <c r="E410" s="212" t="s">
        <v>4467</v>
      </c>
      <c r="F410" s="212" t="s">
        <v>4468</v>
      </c>
      <c r="G410" s="213">
        <v>3126889</v>
      </c>
      <c r="H410" s="214" t="s">
        <v>4469</v>
      </c>
      <c r="J410" s="204"/>
    </row>
    <row r="411" spans="1:10" ht="15" customHeight="1">
      <c r="A411" s="210">
        <f t="shared" si="12"/>
        <v>408</v>
      </c>
      <c r="B411" s="211">
        <v>7083</v>
      </c>
      <c r="C411" s="212" t="s">
        <v>4470</v>
      </c>
      <c r="D411" s="212" t="str">
        <f t="shared" si="13"/>
        <v>DOM ZA DJECU I MLAĐE PUNOLJETNE OSOBE MASLINA, DUBROVNIK (7083)</v>
      </c>
      <c r="E411" s="212" t="s">
        <v>4471</v>
      </c>
      <c r="F411" s="212" t="s">
        <v>314</v>
      </c>
      <c r="G411" s="213">
        <v>3304167</v>
      </c>
      <c r="H411" s="214" t="s">
        <v>4472</v>
      </c>
      <c r="J411" s="204"/>
    </row>
    <row r="412" spans="1:10" ht="15" customHeight="1">
      <c r="A412" s="210">
        <f t="shared" si="12"/>
        <v>409</v>
      </c>
      <c r="B412" s="211">
        <v>7198</v>
      </c>
      <c r="C412" s="212" t="s">
        <v>4473</v>
      </c>
      <c r="D412" s="212" t="str">
        <f t="shared" si="13"/>
        <v>DOM ZA DJECU MAESTRAL SPLIT (7198)</v>
      </c>
      <c r="E412" s="212" t="s">
        <v>4474</v>
      </c>
      <c r="F412" s="212" t="s">
        <v>361</v>
      </c>
      <c r="G412" s="213">
        <v>3118606</v>
      </c>
      <c r="H412" s="214" t="s">
        <v>4475</v>
      </c>
      <c r="J412" s="204"/>
    </row>
    <row r="413" spans="1:10" ht="15" customHeight="1">
      <c r="A413" s="210">
        <f t="shared" si="12"/>
        <v>410</v>
      </c>
      <c r="B413" s="211">
        <v>7155</v>
      </c>
      <c r="C413" s="212" t="s">
        <v>4476</v>
      </c>
      <c r="D413" s="212" t="str">
        <f t="shared" si="13"/>
        <v>DOM ZA DJECU ZA MLAĐE I PUNOLJETNE OSOBE PULA (7155)</v>
      </c>
      <c r="E413" s="212" t="s">
        <v>4477</v>
      </c>
      <c r="F413" s="212" t="s">
        <v>307</v>
      </c>
      <c r="G413" s="213">
        <v>3203824</v>
      </c>
      <c r="H413" s="214" t="s">
        <v>4478</v>
      </c>
      <c r="J413" s="204"/>
    </row>
    <row r="414" spans="1:10" ht="15" customHeight="1">
      <c r="A414" s="210">
        <f t="shared" si="12"/>
        <v>411</v>
      </c>
      <c r="B414" s="211">
        <v>7219</v>
      </c>
      <c r="C414" s="212" t="s">
        <v>4479</v>
      </c>
      <c r="D414" s="212" t="str">
        <f t="shared" si="13"/>
        <v>DJEČJI DOM ZAGREB (7219)</v>
      </c>
      <c r="E414" s="212" t="s">
        <v>4480</v>
      </c>
      <c r="F414" s="212" t="s">
        <v>276</v>
      </c>
      <c r="G414" s="213">
        <v>3289745</v>
      </c>
      <c r="H414" s="214" t="s">
        <v>4481</v>
      </c>
      <c r="J414" s="204"/>
    </row>
    <row r="415" spans="1:10" ht="15" customHeight="1">
      <c r="A415" s="210">
        <f t="shared" si="12"/>
        <v>412</v>
      </c>
      <c r="B415" s="211">
        <v>7227</v>
      </c>
      <c r="C415" s="212" t="s">
        <v>4482</v>
      </c>
      <c r="D415" s="212" t="str">
        <f t="shared" si="13"/>
        <v>DOM ZA ODGOJ DJECE BEDEKOVČINA (7227)</v>
      </c>
      <c r="E415" s="212" t="s">
        <v>4483</v>
      </c>
      <c r="F415" s="212" t="s">
        <v>4484</v>
      </c>
      <c r="G415" s="213">
        <v>3016692</v>
      </c>
      <c r="H415" s="214" t="s">
        <v>4485</v>
      </c>
      <c r="J415" s="204"/>
    </row>
    <row r="416" spans="1:10" ht="15" customHeight="1">
      <c r="A416" s="210">
        <f t="shared" si="12"/>
        <v>413</v>
      </c>
      <c r="B416" s="211">
        <v>7251</v>
      </c>
      <c r="C416" s="212" t="s">
        <v>4486</v>
      </c>
      <c r="D416" s="212" t="str">
        <f t="shared" si="13"/>
        <v>DOM ZA ODGOJ DJECE I MLADEŽI KARLOVAC (7251)</v>
      </c>
      <c r="E416" s="212" t="s">
        <v>4487</v>
      </c>
      <c r="F416" s="212" t="s">
        <v>514</v>
      </c>
      <c r="G416" s="213">
        <v>3130576</v>
      </c>
      <c r="H416" s="214" t="s">
        <v>4488</v>
      </c>
      <c r="J416" s="204"/>
    </row>
    <row r="417" spans="1:10" ht="15" customHeight="1">
      <c r="A417" s="210">
        <f t="shared" si="12"/>
        <v>414</v>
      </c>
      <c r="B417" s="211">
        <v>7278</v>
      </c>
      <c r="C417" s="212" t="s">
        <v>4489</v>
      </c>
      <c r="D417" s="212" t="str">
        <f t="shared" si="13"/>
        <v>DOM ZA ODGOJ DJECE I MLADEŽI OSIJEK (7278)</v>
      </c>
      <c r="E417" s="212" t="s">
        <v>4490</v>
      </c>
      <c r="F417" s="212" t="s">
        <v>279</v>
      </c>
      <c r="G417" s="213">
        <v>3014428</v>
      </c>
      <c r="H417" s="214" t="s">
        <v>4491</v>
      </c>
      <c r="J417" s="204"/>
    </row>
    <row r="418" spans="1:10" ht="15" customHeight="1">
      <c r="A418" s="210">
        <f t="shared" si="12"/>
        <v>415</v>
      </c>
      <c r="B418" s="211">
        <v>7286</v>
      </c>
      <c r="C418" s="212" t="s">
        <v>4492</v>
      </c>
      <c r="D418" s="212" t="str">
        <f t="shared" si="13"/>
        <v>DOM ZA ODGOJ DJECE I MLADEŽI PULA (7286)</v>
      </c>
      <c r="E418" s="212" t="s">
        <v>4493</v>
      </c>
      <c r="F418" s="212" t="s">
        <v>307</v>
      </c>
      <c r="G418" s="213">
        <v>3203832</v>
      </c>
      <c r="H418" s="214" t="s">
        <v>4494</v>
      </c>
      <c r="J418" s="204"/>
    </row>
    <row r="419" spans="1:10" ht="15" customHeight="1">
      <c r="A419" s="210">
        <f t="shared" si="12"/>
        <v>416</v>
      </c>
      <c r="B419" s="211">
        <v>7294</v>
      </c>
      <c r="C419" s="212" t="s">
        <v>4495</v>
      </c>
      <c r="D419" s="212" t="str">
        <f t="shared" si="13"/>
        <v>DOM ZA ODGOJ DJECE I MLADEŽI RIJEKA (7294)</v>
      </c>
      <c r="E419" s="212" t="s">
        <v>4496</v>
      </c>
      <c r="F419" s="212" t="s">
        <v>321</v>
      </c>
      <c r="G419" s="213">
        <v>3321282</v>
      </c>
      <c r="H419" s="214" t="s">
        <v>4497</v>
      </c>
      <c r="J419" s="204"/>
    </row>
    <row r="420" spans="1:10" ht="15" customHeight="1">
      <c r="A420" s="210">
        <f t="shared" si="12"/>
        <v>417</v>
      </c>
      <c r="B420" s="211">
        <v>7317</v>
      </c>
      <c r="C420" s="212" t="s">
        <v>4498</v>
      </c>
      <c r="D420" s="212" t="str">
        <f t="shared" si="13"/>
        <v>DOM ZA ODGOJ DJECE I MLADEŽI ZADAR (7317)</v>
      </c>
      <c r="E420" s="212" t="s">
        <v>4499</v>
      </c>
      <c r="F420" s="212" t="s">
        <v>317</v>
      </c>
      <c r="G420" s="213">
        <v>3153037</v>
      </c>
      <c r="H420" s="214" t="s">
        <v>4500</v>
      </c>
      <c r="J420" s="204"/>
    </row>
    <row r="421" spans="1:10" ht="15" customHeight="1">
      <c r="A421" s="210">
        <f t="shared" si="12"/>
        <v>418</v>
      </c>
      <c r="B421" s="211">
        <v>7325</v>
      </c>
      <c r="C421" s="212" t="s">
        <v>4501</v>
      </c>
      <c r="D421" s="212" t="str">
        <f t="shared" si="13"/>
        <v>DOM ZA ODGOJ DJECE I MLADEŽI ZAGREB (7325)</v>
      </c>
      <c r="E421" s="212" t="s">
        <v>4502</v>
      </c>
      <c r="F421" s="212" t="s">
        <v>4503</v>
      </c>
      <c r="G421" s="213">
        <v>3207536</v>
      </c>
      <c r="H421" s="214" t="s">
        <v>4504</v>
      </c>
      <c r="J421" s="204"/>
    </row>
    <row r="422" spans="1:10" ht="15" customHeight="1">
      <c r="A422" s="210">
        <f t="shared" si="12"/>
        <v>419</v>
      </c>
      <c r="B422" s="211">
        <v>22283</v>
      </c>
      <c r="C422" s="212" t="s">
        <v>4505</v>
      </c>
      <c r="D422" s="212" t="str">
        <f t="shared" si="13"/>
        <v>DOM ZA ODRASLE OSOBE BIDRUŽICA (22283)</v>
      </c>
      <c r="E422" s="212" t="s">
        <v>4506</v>
      </c>
      <c r="F422" s="212" t="s">
        <v>4507</v>
      </c>
      <c r="G422" s="213">
        <v>1354248</v>
      </c>
      <c r="H422" s="214" t="s">
        <v>4508</v>
      </c>
      <c r="J422" s="204"/>
    </row>
    <row r="423" spans="1:10" ht="15" customHeight="1">
      <c r="A423" s="210">
        <f t="shared" si="12"/>
        <v>420</v>
      </c>
      <c r="B423" s="211">
        <v>7840</v>
      </c>
      <c r="C423" s="212" t="s">
        <v>4509</v>
      </c>
      <c r="D423" s="212" t="str">
        <f t="shared" si="13"/>
        <v>DOM ZA ODRASLE OSOBE BOROVA (7840)</v>
      </c>
      <c r="E423" s="212" t="s">
        <v>4510</v>
      </c>
      <c r="F423" s="212" t="s">
        <v>4511</v>
      </c>
      <c r="G423" s="213">
        <v>3105407</v>
      </c>
      <c r="H423" s="214" t="s">
        <v>4512</v>
      </c>
      <c r="J423" s="204"/>
    </row>
    <row r="424" spans="1:10" ht="15" customHeight="1">
      <c r="A424" s="210">
        <f t="shared" si="12"/>
        <v>421</v>
      </c>
      <c r="B424" s="211">
        <v>26547</v>
      </c>
      <c r="C424" s="212" t="s">
        <v>4513</v>
      </c>
      <c r="D424" s="212" t="str">
        <f t="shared" si="13"/>
        <v>DOM ZA ODRASLE OSOBE I REHABILITACIJU METKOVIĆ (26547)</v>
      </c>
      <c r="E424" s="212" t="s">
        <v>4302</v>
      </c>
      <c r="F424" s="212" t="s">
        <v>4303</v>
      </c>
      <c r="G424" s="213">
        <v>1831976</v>
      </c>
      <c r="H424" s="214" t="s">
        <v>4514</v>
      </c>
      <c r="J424" s="204"/>
    </row>
    <row r="425" spans="1:10" ht="15" customHeight="1">
      <c r="A425" s="210">
        <f t="shared" si="12"/>
        <v>422</v>
      </c>
      <c r="B425" s="211">
        <v>7673</v>
      </c>
      <c r="C425" s="212" t="s">
        <v>4515</v>
      </c>
      <c r="D425" s="212" t="str">
        <f t="shared" si="13"/>
        <v>DOM ZA ODRASLE OSOBE LJESKOVICA (7673)</v>
      </c>
      <c r="E425" s="212" t="s">
        <v>4516</v>
      </c>
      <c r="F425" s="212" t="s">
        <v>4517</v>
      </c>
      <c r="G425" s="213">
        <v>3346366</v>
      </c>
      <c r="H425" s="214" t="s">
        <v>4518</v>
      </c>
      <c r="J425" s="204"/>
    </row>
    <row r="426" spans="1:10" ht="15" customHeight="1">
      <c r="A426" s="210">
        <f t="shared" si="12"/>
        <v>423</v>
      </c>
      <c r="B426" s="211">
        <v>7729</v>
      </c>
      <c r="C426" s="212" t="s">
        <v>4519</v>
      </c>
      <c r="D426" s="212" t="str">
        <f t="shared" si="13"/>
        <v>DOM ZA ODRASLE OSOBE NUŠTAR (7729)</v>
      </c>
      <c r="E426" s="212" t="s">
        <v>4520</v>
      </c>
      <c r="F426" s="212" t="s">
        <v>4521</v>
      </c>
      <c r="G426" s="213">
        <v>3301451</v>
      </c>
      <c r="H426" s="214" t="s">
        <v>4522</v>
      </c>
      <c r="J426" s="204"/>
    </row>
    <row r="427" spans="1:10" ht="15" customHeight="1">
      <c r="A427" s="210">
        <f t="shared" si="12"/>
        <v>424</v>
      </c>
      <c r="B427" s="211">
        <v>7745</v>
      </c>
      <c r="C427" s="212" t="s">
        <v>4523</v>
      </c>
      <c r="D427" s="212" t="str">
        <f t="shared" si="13"/>
        <v>DOM ZA ODRASLE OSOBE OREHOVICA (7745)</v>
      </c>
      <c r="E427" s="212" t="s">
        <v>4524</v>
      </c>
      <c r="F427" s="212" t="s">
        <v>4525</v>
      </c>
      <c r="G427" s="213">
        <v>3110150</v>
      </c>
      <c r="H427" s="214" t="s">
        <v>4526</v>
      </c>
      <c r="J427" s="204"/>
    </row>
    <row r="428" spans="1:10" ht="15" customHeight="1">
      <c r="A428" s="210">
        <f t="shared" si="12"/>
        <v>425</v>
      </c>
      <c r="B428" s="211">
        <v>23569</v>
      </c>
      <c r="C428" s="212" t="s">
        <v>4527</v>
      </c>
      <c r="D428" s="212" t="str">
        <f t="shared" si="13"/>
        <v>DOM ZA ODRASLE OSOBE TURNIĆ (23569)</v>
      </c>
      <c r="E428" s="212" t="s">
        <v>4528</v>
      </c>
      <c r="F428" s="212" t="s">
        <v>321</v>
      </c>
      <c r="G428" s="213">
        <v>2848317</v>
      </c>
      <c r="H428" s="214" t="s">
        <v>4529</v>
      </c>
      <c r="J428" s="204"/>
    </row>
    <row r="429" spans="1:10" ht="15" customHeight="1">
      <c r="A429" s="210">
        <f t="shared" si="12"/>
        <v>426</v>
      </c>
      <c r="B429" s="211">
        <v>7544</v>
      </c>
      <c r="C429" s="212" t="s">
        <v>4530</v>
      </c>
      <c r="D429" s="212" t="str">
        <f t="shared" si="13"/>
        <v>DOM ZA ODRASLE OSOBE BJELOVAR (7544)</v>
      </c>
      <c r="E429" s="212" t="s">
        <v>4531</v>
      </c>
      <c r="F429" s="212" t="s">
        <v>3663</v>
      </c>
      <c r="G429" s="213">
        <v>3316998</v>
      </c>
      <c r="H429" s="214" t="s">
        <v>4532</v>
      </c>
      <c r="J429" s="204"/>
    </row>
    <row r="430" spans="1:10" ht="15" customHeight="1">
      <c r="A430" s="210">
        <f t="shared" si="12"/>
        <v>427</v>
      </c>
      <c r="B430" s="211">
        <v>7569</v>
      </c>
      <c r="C430" s="212" t="s">
        <v>4533</v>
      </c>
      <c r="D430" s="212" t="str">
        <f t="shared" si="13"/>
        <v>DOM ZA PSIHIČKI BOLESNE ODRASLE OSOBE BLATO (7569)</v>
      </c>
      <c r="E430" s="212" t="s">
        <v>4534</v>
      </c>
      <c r="F430" s="212" t="s">
        <v>4535</v>
      </c>
      <c r="G430" s="213">
        <v>3081192</v>
      </c>
      <c r="H430" s="214" t="s">
        <v>4536</v>
      </c>
      <c r="J430" s="204"/>
    </row>
    <row r="431" spans="1:10" ht="15" customHeight="1">
      <c r="A431" s="210">
        <f t="shared" si="12"/>
        <v>428</v>
      </c>
      <c r="B431" s="211">
        <v>7624</v>
      </c>
      <c r="C431" s="212" t="s">
        <v>4537</v>
      </c>
      <c r="D431" s="212" t="str">
        <f t="shared" si="13"/>
        <v>DOM ZA ODRASLE OSOBE JALŽABET (7624)</v>
      </c>
      <c r="E431" s="212" t="s">
        <v>4538</v>
      </c>
      <c r="F431" s="212" t="s">
        <v>4539</v>
      </c>
      <c r="G431" s="213">
        <v>3006441</v>
      </c>
      <c r="H431" s="214" t="s">
        <v>4540</v>
      </c>
      <c r="J431" s="204"/>
    </row>
    <row r="432" spans="1:10" ht="15" customHeight="1">
      <c r="A432" s="210">
        <f t="shared" si="12"/>
        <v>429</v>
      </c>
      <c r="B432" s="211">
        <v>7690</v>
      </c>
      <c r="C432" s="212" t="s">
        <v>4541</v>
      </c>
      <c r="D432" s="212" t="str">
        <f t="shared" si="13"/>
        <v>DOM ZA PSIHIČKI BOLESNE ODRASLE OSOBE MOTOVUN (7690)</v>
      </c>
      <c r="E432" s="212" t="s">
        <v>4542</v>
      </c>
      <c r="F432" s="212" t="s">
        <v>4543</v>
      </c>
      <c r="G432" s="213">
        <v>3089304</v>
      </c>
      <c r="H432" s="214" t="s">
        <v>4544</v>
      </c>
      <c r="J432" s="204"/>
    </row>
    <row r="433" spans="1:10" ht="15" customHeight="1">
      <c r="A433" s="210">
        <f t="shared" si="12"/>
        <v>430</v>
      </c>
      <c r="B433" s="211">
        <v>7938</v>
      </c>
      <c r="C433" s="212" t="s">
        <v>4545</v>
      </c>
      <c r="D433" s="212" t="str">
        <f t="shared" si="13"/>
        <v>DOM ZA ODRASLE OSOBE SV. FRANE ZADAR (7938)</v>
      </c>
      <c r="E433" s="212" t="s">
        <v>4546</v>
      </c>
      <c r="F433" s="212" t="s">
        <v>317</v>
      </c>
      <c r="G433" s="213">
        <v>3132226</v>
      </c>
      <c r="H433" s="214" t="s">
        <v>4547</v>
      </c>
      <c r="J433" s="204"/>
    </row>
    <row r="434" spans="1:10" ht="15" customHeight="1">
      <c r="A434" s="210">
        <f t="shared" si="12"/>
        <v>431</v>
      </c>
      <c r="B434" s="211">
        <v>7704</v>
      </c>
      <c r="C434" s="212" t="s">
        <v>4548</v>
      </c>
      <c r="D434" s="212" t="str">
        <f t="shared" si="13"/>
        <v>DOM ZA ODRASLE OSOBE "SVETA NEDJELJA" NEDEŠĆINA (7704)</v>
      </c>
      <c r="E434" s="212" t="s">
        <v>4549</v>
      </c>
      <c r="F434" s="212" t="s">
        <v>4550</v>
      </c>
      <c r="G434" s="213">
        <v>3075184</v>
      </c>
      <c r="H434" s="214" t="s">
        <v>4551</v>
      </c>
      <c r="J434" s="204"/>
    </row>
    <row r="435" spans="1:10" ht="15" customHeight="1">
      <c r="A435" s="210">
        <f t="shared" si="12"/>
        <v>432</v>
      </c>
      <c r="B435" s="211">
        <v>7866</v>
      </c>
      <c r="C435" s="212" t="s">
        <v>4552</v>
      </c>
      <c r="D435" s="212" t="str">
        <f t="shared" si="13"/>
        <v>DOM ZA PSIHIČKI BOLESNE ODRASLE OSOBE TROGIR (7866)</v>
      </c>
      <c r="E435" s="212" t="s">
        <v>4553</v>
      </c>
      <c r="F435" s="212" t="s">
        <v>4554</v>
      </c>
      <c r="G435" s="213">
        <v>3039200</v>
      </c>
      <c r="H435" s="214" t="s">
        <v>4555</v>
      </c>
      <c r="J435" s="204"/>
    </row>
    <row r="436" spans="1:10" ht="15" customHeight="1">
      <c r="A436" s="210">
        <f t="shared" si="12"/>
        <v>433</v>
      </c>
      <c r="B436" s="211">
        <v>23657</v>
      </c>
      <c r="C436" s="212" t="s">
        <v>4556</v>
      </c>
      <c r="D436" s="212" t="str">
        <f t="shared" si="13"/>
        <v>DOM ZA ODRASLE OSOBE VILA MARIA (23657)</v>
      </c>
      <c r="E436" s="212" t="s">
        <v>4557</v>
      </c>
      <c r="F436" s="212" t="s">
        <v>307</v>
      </c>
      <c r="G436" s="213">
        <v>1599585</v>
      </c>
      <c r="H436" s="214" t="s">
        <v>4558</v>
      </c>
      <c r="J436" s="204"/>
    </row>
    <row r="437" spans="1:10" ht="15" customHeight="1">
      <c r="A437" s="210">
        <f t="shared" si="12"/>
        <v>434</v>
      </c>
      <c r="B437" s="211">
        <v>8051</v>
      </c>
      <c r="C437" s="212" t="s">
        <v>4559</v>
      </c>
      <c r="D437" s="212" t="str">
        <f t="shared" si="13"/>
        <v>DOM ZA PSIHIČKI BOLESNE ODRASLE OSOBE ZAGREB (8051)</v>
      </c>
      <c r="E437" s="212" t="s">
        <v>4560</v>
      </c>
      <c r="F437" s="212" t="s">
        <v>276</v>
      </c>
      <c r="G437" s="213">
        <v>1354256</v>
      </c>
      <c r="H437" s="214" t="s">
        <v>4561</v>
      </c>
      <c r="J437" s="204"/>
    </row>
    <row r="438" spans="1:10" ht="15" customHeight="1">
      <c r="A438" s="210">
        <f t="shared" si="12"/>
        <v>435</v>
      </c>
      <c r="B438" s="211">
        <v>22322</v>
      </c>
      <c r="C438" s="212" t="s">
        <v>4562</v>
      </c>
      <c r="D438" s="212" t="str">
        <f t="shared" si="13"/>
        <v>DOM ZA ODRASLE OSOBE ZEMUNIK (22322)</v>
      </c>
      <c r="E438" s="212" t="s">
        <v>4563</v>
      </c>
      <c r="F438" s="212" t="s">
        <v>4564</v>
      </c>
      <c r="G438" s="213">
        <v>1364464</v>
      </c>
      <c r="H438" s="214" t="s">
        <v>4565</v>
      </c>
      <c r="J438" s="204"/>
    </row>
    <row r="439" spans="1:10" ht="15" customHeight="1">
      <c r="A439" s="210">
        <f t="shared" si="12"/>
        <v>436</v>
      </c>
      <c r="B439" s="211">
        <v>43327</v>
      </c>
      <c r="C439" s="229" t="s">
        <v>4566</v>
      </c>
      <c r="D439" s="212" t="str">
        <f t="shared" si="13"/>
        <v>DOM ZA STARIJE I TEŠKO BOLESNE ODRASLE OSOBE "MAJKA MARIJA PETKOVIĆ" (43327)</v>
      </c>
      <c r="E439" s="229" t="s">
        <v>4567</v>
      </c>
      <c r="F439" s="229" t="s">
        <v>4535</v>
      </c>
      <c r="G439" s="224" t="s">
        <v>4568</v>
      </c>
      <c r="H439" s="232" t="s">
        <v>4569</v>
      </c>
      <c r="J439" s="204"/>
    </row>
    <row r="440" spans="1:10" ht="15" customHeight="1">
      <c r="A440" s="210">
        <f t="shared" si="12"/>
        <v>437</v>
      </c>
      <c r="B440" s="211">
        <v>46052</v>
      </c>
      <c r="C440" s="212" t="s">
        <v>4570</v>
      </c>
      <c r="D440" s="212" t="str">
        <f t="shared" si="13"/>
        <v>DOM ZA STARIJE OSOBE OKLAJ (46052)</v>
      </c>
      <c r="E440" s="212" t="s">
        <v>4571</v>
      </c>
      <c r="F440" s="212" t="s">
        <v>4572</v>
      </c>
      <c r="G440" s="213">
        <v>1917790</v>
      </c>
      <c r="H440" s="214" t="s">
        <v>4573</v>
      </c>
      <c r="J440" s="204"/>
    </row>
    <row r="441" spans="1:10" ht="15" customHeight="1">
      <c r="A441" s="210">
        <f t="shared" si="12"/>
        <v>438</v>
      </c>
      <c r="B441" s="211">
        <v>7243</v>
      </c>
      <c r="C441" s="212" t="s">
        <v>4574</v>
      </c>
      <c r="D441" s="212" t="str">
        <f t="shared" si="13"/>
        <v>ODGOJNI DOM IVANEC (7243)</v>
      </c>
      <c r="E441" s="212" t="s">
        <v>4575</v>
      </c>
      <c r="F441" s="212" t="s">
        <v>4254</v>
      </c>
      <c r="G441" s="213">
        <v>3126013</v>
      </c>
      <c r="H441" s="214" t="s">
        <v>4576</v>
      </c>
      <c r="J441" s="204"/>
    </row>
    <row r="442" spans="1:10" ht="15" customHeight="1">
      <c r="A442" s="210">
        <f t="shared" si="12"/>
        <v>439</v>
      </c>
      <c r="B442" s="211">
        <v>7260</v>
      </c>
      <c r="C442" s="212" t="s">
        <v>4577</v>
      </c>
      <c r="D442" s="212" t="str">
        <f t="shared" si="13"/>
        <v>ODGOJNI DOM MALI LOŠINJ (7260)</v>
      </c>
      <c r="E442" s="212" t="s">
        <v>4578</v>
      </c>
      <c r="F442" s="212" t="s">
        <v>4183</v>
      </c>
      <c r="G442" s="213">
        <v>3040216</v>
      </c>
      <c r="H442" s="214" t="s">
        <v>4579</v>
      </c>
      <c r="J442" s="204"/>
    </row>
    <row r="443" spans="1:10" s="204" customFormat="1" ht="15" customHeight="1">
      <c r="A443" s="199">
        <f t="shared" si="12"/>
        <v>440</v>
      </c>
      <c r="B443" s="206">
        <v>43214</v>
      </c>
      <c r="C443" s="207" t="s">
        <v>4580</v>
      </c>
      <c r="D443" s="212" t="str">
        <f t="shared" si="13"/>
        <v>MINISTARSTVO TURIZMA I SPORTA (43214)</v>
      </c>
      <c r="E443" s="207" t="s">
        <v>3835</v>
      </c>
      <c r="F443" s="207" t="s">
        <v>276</v>
      </c>
      <c r="G443" s="208">
        <v>2323427</v>
      </c>
      <c r="H443" s="209" t="s">
        <v>4581</v>
      </c>
    </row>
    <row r="444" spans="1:10" ht="15" customHeight="1">
      <c r="A444" s="199">
        <f t="shared" ref="A444:A507" si="14">+A443+1</f>
        <v>441</v>
      </c>
      <c r="B444" s="206" t="s">
        <v>4582</v>
      </c>
      <c r="C444" s="207" t="s">
        <v>4583</v>
      </c>
      <c r="D444" s="212" t="str">
        <f t="shared" si="13"/>
        <v>MINISTARSTVO ZDRAVSTVA (47107)</v>
      </c>
      <c r="E444" s="207" t="s">
        <v>4584</v>
      </c>
      <c r="F444" s="207" t="s">
        <v>276</v>
      </c>
      <c r="G444" s="208">
        <v>2830396</v>
      </c>
      <c r="H444" s="209" t="s">
        <v>4585</v>
      </c>
      <c r="J444" s="204"/>
    </row>
    <row r="445" spans="1:10" ht="15" customHeight="1">
      <c r="A445" s="210">
        <f t="shared" si="14"/>
        <v>442</v>
      </c>
      <c r="B445" s="211">
        <v>26571</v>
      </c>
      <c r="C445" s="212" t="s">
        <v>4586</v>
      </c>
      <c r="D445" s="212" t="str">
        <f t="shared" si="13"/>
        <v>KLINIČKA BOLNICA DUBRAVA (26571)</v>
      </c>
      <c r="E445" s="212" t="s">
        <v>4587</v>
      </c>
      <c r="F445" s="212" t="s">
        <v>276</v>
      </c>
      <c r="G445" s="213">
        <v>3799913</v>
      </c>
      <c r="H445" s="214" t="s">
        <v>4588</v>
      </c>
      <c r="J445" s="204"/>
    </row>
    <row r="446" spans="1:10" ht="15" customHeight="1">
      <c r="A446" s="210">
        <f t="shared" si="14"/>
        <v>443</v>
      </c>
      <c r="B446" s="211">
        <v>26387</v>
      </c>
      <c r="C446" s="212" t="s">
        <v>4589</v>
      </c>
      <c r="D446" s="212" t="str">
        <f t="shared" si="13"/>
        <v>KLINIČKA BOLNICA MERKUR (26387)</v>
      </c>
      <c r="E446" s="212" t="s">
        <v>4590</v>
      </c>
      <c r="F446" s="212" t="s">
        <v>276</v>
      </c>
      <c r="G446" s="213">
        <v>3279057</v>
      </c>
      <c r="H446" s="214" t="s">
        <v>4591</v>
      </c>
      <c r="J446" s="204"/>
    </row>
    <row r="447" spans="1:10" ht="15" customHeight="1">
      <c r="A447" s="210">
        <f t="shared" si="14"/>
        <v>444</v>
      </c>
      <c r="B447" s="211">
        <v>26400</v>
      </c>
      <c r="C447" s="222" t="s">
        <v>4592</v>
      </c>
      <c r="D447" s="212" t="str">
        <f t="shared" si="13"/>
        <v>KLINIČKI BOLNIČKI CENTAR OSIJEK (26400)</v>
      </c>
      <c r="E447" s="212" t="s">
        <v>4593</v>
      </c>
      <c r="F447" s="212" t="s">
        <v>279</v>
      </c>
      <c r="G447" s="213">
        <v>3018822</v>
      </c>
      <c r="H447" s="214" t="s">
        <v>4594</v>
      </c>
      <c r="J447" s="204"/>
    </row>
    <row r="448" spans="1:10" ht="15" customHeight="1">
      <c r="A448" s="210">
        <f t="shared" si="14"/>
        <v>445</v>
      </c>
      <c r="B448" s="211">
        <v>26379</v>
      </c>
      <c r="C448" s="212" t="s">
        <v>4595</v>
      </c>
      <c r="D448" s="212" t="str">
        <f t="shared" si="13"/>
        <v>KLINIČKI BOLNIČKI CENTAR RIJEKA (26379)</v>
      </c>
      <c r="E448" s="212" t="s">
        <v>4596</v>
      </c>
      <c r="F448" s="212" t="s">
        <v>321</v>
      </c>
      <c r="G448" s="213">
        <v>3368041</v>
      </c>
      <c r="H448" s="214" t="s">
        <v>4597</v>
      </c>
      <c r="J448" s="204"/>
    </row>
    <row r="449" spans="1:10" ht="15" customHeight="1">
      <c r="A449" s="210">
        <f t="shared" si="14"/>
        <v>446</v>
      </c>
      <c r="B449" s="211">
        <v>26395</v>
      </c>
      <c r="C449" s="212" t="s">
        <v>4598</v>
      </c>
      <c r="D449" s="212" t="str">
        <f t="shared" si="13"/>
        <v>KLINIČKI BOLNIČKI CENTAR SESTRE MILOSRDNICE (26395)</v>
      </c>
      <c r="E449" s="212" t="s">
        <v>4599</v>
      </c>
      <c r="F449" s="212" t="s">
        <v>276</v>
      </c>
      <c r="G449" s="213">
        <v>3208036</v>
      </c>
      <c r="H449" s="214" t="s">
        <v>4600</v>
      </c>
      <c r="J449" s="204"/>
    </row>
    <row r="450" spans="1:10" ht="15" customHeight="1">
      <c r="A450" s="210">
        <f t="shared" si="14"/>
        <v>447</v>
      </c>
      <c r="B450" s="211">
        <v>26418</v>
      </c>
      <c r="C450" s="222" t="s">
        <v>4601</v>
      </c>
      <c r="D450" s="212" t="str">
        <f t="shared" si="13"/>
        <v>KLINIČKI BOLNIČKI CENTAR SPLIT (26418)</v>
      </c>
      <c r="E450" s="212" t="s">
        <v>4602</v>
      </c>
      <c r="F450" s="212" t="s">
        <v>361</v>
      </c>
      <c r="G450" s="213">
        <v>242870</v>
      </c>
      <c r="H450" s="214" t="s">
        <v>4603</v>
      </c>
      <c r="J450" s="204"/>
    </row>
    <row r="451" spans="1:10" ht="15" customHeight="1">
      <c r="A451" s="210">
        <f t="shared" si="14"/>
        <v>448</v>
      </c>
      <c r="B451" s="211">
        <v>38069</v>
      </c>
      <c r="C451" s="212" t="s">
        <v>4604</v>
      </c>
      <c r="D451" s="212" t="str">
        <f t="shared" si="13"/>
        <v>KLINIČKI BOLNIČKI CENTAR ZAGREB (38069)</v>
      </c>
      <c r="E451" s="212" t="s">
        <v>4605</v>
      </c>
      <c r="F451" s="212" t="s">
        <v>276</v>
      </c>
      <c r="G451" s="213">
        <v>3270777</v>
      </c>
      <c r="H451" s="214" t="s">
        <v>4606</v>
      </c>
      <c r="J451" s="204"/>
    </row>
    <row r="452" spans="1:10" ht="15" customHeight="1">
      <c r="A452" s="210">
        <f t="shared" si="14"/>
        <v>449</v>
      </c>
      <c r="B452" s="211">
        <v>47893</v>
      </c>
      <c r="C452" s="212" t="s">
        <v>4607</v>
      </c>
      <c r="D452" s="212" t="str">
        <f t="shared" ref="D452:D515" si="15">C452&amp;" ("&amp;B452&amp;")"</f>
        <v>KLINIKA ZA DJEČJE BOLESTI ZAGREB (47893)</v>
      </c>
      <c r="E452" s="212" t="s">
        <v>4608</v>
      </c>
      <c r="F452" s="212" t="s">
        <v>276</v>
      </c>
      <c r="G452" s="213">
        <v>2874989</v>
      </c>
      <c r="H452" s="214" t="s">
        <v>4609</v>
      </c>
      <c r="J452" s="204"/>
    </row>
    <row r="453" spans="1:10" ht="15" customHeight="1">
      <c r="A453" s="210">
        <f t="shared" si="14"/>
        <v>450</v>
      </c>
      <c r="B453" s="211">
        <v>26459</v>
      </c>
      <c r="C453" s="212" t="s">
        <v>4610</v>
      </c>
      <c r="D453" s="212" t="str">
        <f t="shared" si="15"/>
        <v>KLINIKA ZA INFEKTIVNE BOLESTI DR. FRAN MIHALJEVIĆ (26459)</v>
      </c>
      <c r="E453" s="212" t="s">
        <v>4611</v>
      </c>
      <c r="F453" s="212" t="s">
        <v>276</v>
      </c>
      <c r="G453" s="213">
        <v>3270793</v>
      </c>
      <c r="H453" s="214" t="s">
        <v>4612</v>
      </c>
      <c r="J453" s="204"/>
    </row>
    <row r="454" spans="1:10" ht="15" customHeight="1">
      <c r="A454" s="210">
        <f t="shared" si="14"/>
        <v>451</v>
      </c>
      <c r="B454" s="211">
        <v>26426</v>
      </c>
      <c r="C454" s="222" t="s">
        <v>4613</v>
      </c>
      <c r="D454" s="212" t="str">
        <f t="shared" si="15"/>
        <v>KLINIKA ZA ORTOPEDIJU LOVRAN (26426)</v>
      </c>
      <c r="E454" s="212" t="s">
        <v>4614</v>
      </c>
      <c r="F454" s="212" t="s">
        <v>3973</v>
      </c>
      <c r="G454" s="213">
        <v>3090302</v>
      </c>
      <c r="H454" s="214" t="s">
        <v>4615</v>
      </c>
      <c r="J454" s="204"/>
    </row>
    <row r="455" spans="1:10" ht="15" customHeight="1">
      <c r="A455" s="210">
        <f t="shared" si="14"/>
        <v>452</v>
      </c>
      <c r="B455" s="211">
        <v>38028</v>
      </c>
      <c r="C455" s="222" t="s">
        <v>4616</v>
      </c>
      <c r="D455" s="212" t="str">
        <f t="shared" si="15"/>
        <v>NACIONALNA MEMORIJALNA BOLNICA VUKOVAR (38028)</v>
      </c>
      <c r="E455" s="229" t="s">
        <v>4617</v>
      </c>
      <c r="F455" s="229" t="s">
        <v>502</v>
      </c>
      <c r="G455" s="224" t="s">
        <v>4618</v>
      </c>
      <c r="H455" s="230">
        <v>54896856295</v>
      </c>
      <c r="J455" s="204"/>
    </row>
    <row r="456" spans="1:10" ht="15" customHeight="1">
      <c r="A456" s="210">
        <f t="shared" si="14"/>
        <v>453</v>
      </c>
      <c r="B456" s="211">
        <v>38655</v>
      </c>
      <c r="C456" s="212" t="s">
        <v>4619</v>
      </c>
      <c r="D456" s="212" t="str">
        <f t="shared" si="15"/>
        <v>DOM ZDRAVLJA MINISTARSTVA UNUTARNJIH POSLOVA REPUBLIKE HRVATSKE (38655)</v>
      </c>
      <c r="E456" s="212" t="s">
        <v>4620</v>
      </c>
      <c r="F456" s="212" t="s">
        <v>276</v>
      </c>
      <c r="G456" s="213">
        <v>3274314</v>
      </c>
      <c r="H456" s="214" t="s">
        <v>4621</v>
      </c>
      <c r="J456" s="204"/>
    </row>
    <row r="457" spans="1:10" ht="15" customHeight="1">
      <c r="A457" s="210">
        <f t="shared" si="14"/>
        <v>454</v>
      </c>
      <c r="B457" s="211">
        <v>44573</v>
      </c>
      <c r="C457" s="212" t="s">
        <v>4622</v>
      </c>
      <c r="D457" s="212" t="str">
        <f t="shared" si="15"/>
        <v>HRVATSKI ZAVOD ZA HITNU MEDICINU (44573)</v>
      </c>
      <c r="E457" s="212" t="s">
        <v>4623</v>
      </c>
      <c r="F457" s="212" t="s">
        <v>276</v>
      </c>
      <c r="G457" s="213">
        <v>2536145</v>
      </c>
      <c r="H457" s="214" t="s">
        <v>4624</v>
      </c>
      <c r="J457" s="204"/>
    </row>
    <row r="458" spans="1:10" ht="15" customHeight="1">
      <c r="A458" s="210">
        <f t="shared" si="14"/>
        <v>455</v>
      </c>
      <c r="B458" s="211">
        <v>26346</v>
      </c>
      <c r="C458" s="212" t="s">
        <v>4625</v>
      </c>
      <c r="D458" s="212" t="str">
        <f t="shared" si="15"/>
        <v>HRVATSKI ZAVOD ZA JAVNO ZDRAVSTVO (26346)</v>
      </c>
      <c r="E458" s="212" t="s">
        <v>4626</v>
      </c>
      <c r="F458" s="212" t="s">
        <v>276</v>
      </c>
      <c r="G458" s="213">
        <v>3270963</v>
      </c>
      <c r="H458" s="214" t="s">
        <v>4627</v>
      </c>
      <c r="J458" s="204"/>
    </row>
    <row r="459" spans="1:10" ht="15" customHeight="1">
      <c r="A459" s="210">
        <f t="shared" si="14"/>
        <v>456</v>
      </c>
      <c r="B459" s="211">
        <v>26354</v>
      </c>
      <c r="C459" s="212" t="s">
        <v>4628</v>
      </c>
      <c r="D459" s="212" t="str">
        <f t="shared" si="15"/>
        <v>HRVATSKI ZAVOD ZA TRANSFUZIJSKU MEDICINU (26354)</v>
      </c>
      <c r="E459" s="212" t="s">
        <v>4629</v>
      </c>
      <c r="F459" s="212" t="s">
        <v>276</v>
      </c>
      <c r="G459" s="213">
        <v>3281973</v>
      </c>
      <c r="H459" s="214" t="s">
        <v>4630</v>
      </c>
      <c r="J459" s="204"/>
    </row>
    <row r="460" spans="1:10" ht="15" customHeight="1">
      <c r="A460" s="210">
        <f t="shared" si="14"/>
        <v>457</v>
      </c>
      <c r="B460" s="211">
        <v>23616</v>
      </c>
      <c r="C460" s="212" t="s">
        <v>4631</v>
      </c>
      <c r="D460" s="212" t="str">
        <f t="shared" si="15"/>
        <v>IMUNOLOŠKI ZAVOD (23616)</v>
      </c>
      <c r="E460" s="212" t="s">
        <v>4632</v>
      </c>
      <c r="F460" s="212" t="s">
        <v>276</v>
      </c>
      <c r="G460" s="215" t="s">
        <v>4633</v>
      </c>
      <c r="H460" s="233" t="s">
        <v>4634</v>
      </c>
      <c r="J460" s="204"/>
    </row>
    <row r="461" spans="1:10" ht="15" customHeight="1">
      <c r="A461" s="199">
        <f t="shared" si="14"/>
        <v>458</v>
      </c>
      <c r="B461" s="206">
        <v>21828</v>
      </c>
      <c r="C461" s="207" t="s">
        <v>4635</v>
      </c>
      <c r="D461" s="212" t="str">
        <f t="shared" si="15"/>
        <v>HRVATSKA AKADEMIJA ZNANOSTI I UMJETNOSTI (21828)</v>
      </c>
      <c r="E461" s="207" t="s">
        <v>4636</v>
      </c>
      <c r="F461" s="207" t="s">
        <v>276</v>
      </c>
      <c r="G461" s="208">
        <v>3205207</v>
      </c>
      <c r="H461" s="209" t="s">
        <v>4637</v>
      </c>
      <c r="J461" s="204"/>
    </row>
    <row r="462" spans="1:10" ht="15" customHeight="1">
      <c r="A462" s="199">
        <f t="shared" si="14"/>
        <v>459</v>
      </c>
      <c r="B462" s="206">
        <v>51441</v>
      </c>
      <c r="C462" s="207" t="s">
        <v>4638</v>
      </c>
      <c r="D462" s="212" t="str">
        <f t="shared" si="15"/>
        <v>MINISTARSTVO PRAVOSUĐA I UPRAVE (51441)</v>
      </c>
      <c r="E462" s="207" t="s">
        <v>4639</v>
      </c>
      <c r="F462" s="207" t="s">
        <v>276</v>
      </c>
      <c r="G462" s="208">
        <v>5287260</v>
      </c>
      <c r="H462" s="209" t="s">
        <v>4640</v>
      </c>
      <c r="I462" s="234"/>
      <c r="J462" s="204"/>
    </row>
    <row r="463" spans="1:10" ht="15" customHeight="1">
      <c r="A463" s="210">
        <f t="shared" si="14"/>
        <v>460</v>
      </c>
      <c r="B463" s="211">
        <v>45978</v>
      </c>
      <c r="C463" s="212" t="s">
        <v>4641</v>
      </c>
      <c r="D463" s="212" t="str">
        <f t="shared" si="15"/>
        <v>PRAVOSUDNA AKADEMIJA (45978)</v>
      </c>
      <c r="E463" s="212" t="s">
        <v>4639</v>
      </c>
      <c r="F463" s="212" t="s">
        <v>276</v>
      </c>
      <c r="G463" s="213" t="s">
        <v>4642</v>
      </c>
      <c r="H463" s="235" t="s">
        <v>4643</v>
      </c>
      <c r="J463" s="204"/>
    </row>
    <row r="464" spans="1:10" ht="15" customHeight="1">
      <c r="A464" s="210">
        <f t="shared" si="14"/>
        <v>461</v>
      </c>
      <c r="B464" s="211">
        <v>47668</v>
      </c>
      <c r="C464" s="212" t="s">
        <v>4644</v>
      </c>
      <c r="D464" s="212" t="str">
        <f t="shared" si="15"/>
        <v>CENTAR ZA DIJAGNOSTIKU U ZAGREBU (47668)</v>
      </c>
      <c r="E464" s="212" t="s">
        <v>4645</v>
      </c>
      <c r="F464" s="212" t="s">
        <v>1778</v>
      </c>
      <c r="G464" s="213" t="s">
        <v>4646</v>
      </c>
      <c r="H464" s="235">
        <v>95770301332</v>
      </c>
      <c r="J464" s="204"/>
    </row>
    <row r="465" spans="1:10" ht="15" customHeight="1">
      <c r="A465" s="210">
        <f t="shared" si="14"/>
        <v>462</v>
      </c>
      <c r="B465" s="211">
        <v>24086</v>
      </c>
      <c r="C465" s="212" t="s">
        <v>4647</v>
      </c>
      <c r="D465" s="212" t="str">
        <f t="shared" si="15"/>
        <v>CENTAR ZA IZOBRAZBU  (24086)</v>
      </c>
      <c r="E465" s="212" t="s">
        <v>4645</v>
      </c>
      <c r="F465" s="212" t="s">
        <v>276</v>
      </c>
      <c r="G465" s="213">
        <v>1740024</v>
      </c>
      <c r="H465" s="214" t="s">
        <v>4648</v>
      </c>
      <c r="J465" s="204"/>
    </row>
    <row r="466" spans="1:10" ht="15" customHeight="1">
      <c r="A466" s="210">
        <f t="shared" si="14"/>
        <v>463</v>
      </c>
      <c r="B466" s="211">
        <v>20727</v>
      </c>
      <c r="C466" s="212" t="s">
        <v>4649</v>
      </c>
      <c r="D466" s="212" t="str">
        <f t="shared" si="15"/>
        <v>KAZNIONICA U GLINI (20727)</v>
      </c>
      <c r="E466" s="212" t="s">
        <v>4650</v>
      </c>
      <c r="F466" s="212" t="s">
        <v>4235</v>
      </c>
      <c r="G466" s="213">
        <v>1149695</v>
      </c>
      <c r="H466" s="214" t="s">
        <v>4651</v>
      </c>
      <c r="J466" s="204"/>
    </row>
    <row r="467" spans="1:10" ht="15" customHeight="1">
      <c r="A467" s="210">
        <f t="shared" si="14"/>
        <v>464</v>
      </c>
      <c r="B467" s="211">
        <v>3164</v>
      </c>
      <c r="C467" s="212" t="s">
        <v>4652</v>
      </c>
      <c r="D467" s="212" t="str">
        <f t="shared" si="15"/>
        <v>KAZNIONICA U LEPOGLAVI (3164)</v>
      </c>
      <c r="E467" s="212" t="s">
        <v>4653</v>
      </c>
      <c r="F467" s="212" t="s">
        <v>4654</v>
      </c>
      <c r="G467" s="213">
        <v>3125971</v>
      </c>
      <c r="H467" s="214" t="s">
        <v>4655</v>
      </c>
      <c r="J467" s="204"/>
    </row>
    <row r="468" spans="1:10" ht="15" customHeight="1">
      <c r="A468" s="210">
        <f t="shared" si="14"/>
        <v>465</v>
      </c>
      <c r="B468" s="211">
        <v>3172</v>
      </c>
      <c r="C468" s="212" t="s">
        <v>4656</v>
      </c>
      <c r="D468" s="212" t="str">
        <f t="shared" si="15"/>
        <v>KAZNIONICA U LIPOVICI - POPOVAČA (3172)</v>
      </c>
      <c r="E468" s="212" t="s">
        <v>4657</v>
      </c>
      <c r="F468" s="212" t="s">
        <v>4658</v>
      </c>
      <c r="G468" s="213">
        <v>3331482</v>
      </c>
      <c r="H468" s="214" t="s">
        <v>4659</v>
      </c>
      <c r="J468" s="204"/>
    </row>
    <row r="469" spans="1:10" ht="15" customHeight="1">
      <c r="A469" s="210">
        <f t="shared" si="14"/>
        <v>466</v>
      </c>
      <c r="B469" s="211">
        <v>50395</v>
      </c>
      <c r="C469" s="212" t="s">
        <v>4660</v>
      </c>
      <c r="D469" s="212" t="str">
        <f t="shared" si="15"/>
        <v>KAZNIONICA U POŽEGI (50395)</v>
      </c>
      <c r="E469" s="212" t="s">
        <v>4661</v>
      </c>
      <c r="F469" s="212" t="s">
        <v>518</v>
      </c>
      <c r="G469" s="213">
        <v>4982495</v>
      </c>
      <c r="H469" s="214" t="s">
        <v>4662</v>
      </c>
      <c r="J469" s="204"/>
    </row>
    <row r="470" spans="1:10" ht="15" customHeight="1">
      <c r="A470" s="210">
        <f t="shared" si="14"/>
        <v>467</v>
      </c>
      <c r="B470" s="211">
        <v>3197</v>
      </c>
      <c r="C470" s="212" t="s">
        <v>4663</v>
      </c>
      <c r="D470" s="212" t="str">
        <f t="shared" si="15"/>
        <v>KAZNIONICA U TUROPOLJU (3197)</v>
      </c>
      <c r="E470" s="212" t="s">
        <v>4664</v>
      </c>
      <c r="F470" s="212" t="s">
        <v>3593</v>
      </c>
      <c r="G470" s="213">
        <v>3230015</v>
      </c>
      <c r="H470" s="214" t="s">
        <v>4665</v>
      </c>
      <c r="J470" s="204"/>
    </row>
    <row r="471" spans="1:10" ht="15" customHeight="1">
      <c r="A471" s="210">
        <f t="shared" si="14"/>
        <v>468</v>
      </c>
      <c r="B471" s="211">
        <v>3201</v>
      </c>
      <c r="C471" s="212" t="s">
        <v>4666</v>
      </c>
      <c r="D471" s="212" t="str">
        <f t="shared" si="15"/>
        <v>KAZNIONICA U VALTURI (3201)</v>
      </c>
      <c r="E471" s="212" t="s">
        <v>4667</v>
      </c>
      <c r="F471" s="212" t="s">
        <v>307</v>
      </c>
      <c r="G471" s="213">
        <v>3221784</v>
      </c>
      <c r="H471" s="214" t="s">
        <v>4668</v>
      </c>
      <c r="J471" s="204"/>
    </row>
    <row r="472" spans="1:10" ht="15" customHeight="1">
      <c r="A472" s="210">
        <f t="shared" si="14"/>
        <v>469</v>
      </c>
      <c r="B472" s="211">
        <v>3156</v>
      </c>
      <c r="C472" s="212" t="s">
        <v>4669</v>
      </c>
      <c r="D472" s="212" t="str">
        <f t="shared" si="15"/>
        <v>ODGOJNI ZAVOD TUROPOLJE (3156)</v>
      </c>
      <c r="E472" s="212" t="s">
        <v>4670</v>
      </c>
      <c r="F472" s="212" t="s">
        <v>3593</v>
      </c>
      <c r="G472" s="213">
        <v>3126498</v>
      </c>
      <c r="H472" s="214" t="s">
        <v>4671</v>
      </c>
      <c r="J472" s="204"/>
    </row>
    <row r="473" spans="1:10" ht="15" customHeight="1">
      <c r="A473" s="210">
        <f t="shared" si="14"/>
        <v>470</v>
      </c>
      <c r="B473" s="211">
        <v>46614</v>
      </c>
      <c r="C473" s="212" t="s">
        <v>4672</v>
      </c>
      <c r="D473" s="212" t="str">
        <f t="shared" si="15"/>
        <v>ODGOJNI ZAVOD U POŽEGI (46614)</v>
      </c>
      <c r="E473" s="212" t="s">
        <v>4661</v>
      </c>
      <c r="F473" s="212" t="s">
        <v>518</v>
      </c>
      <c r="G473" s="213">
        <v>3342719</v>
      </c>
      <c r="H473" s="214" t="s">
        <v>4673</v>
      </c>
      <c r="J473" s="204"/>
    </row>
    <row r="474" spans="1:10" ht="15" customHeight="1">
      <c r="A474" s="210">
        <f t="shared" si="14"/>
        <v>471</v>
      </c>
      <c r="B474" s="211">
        <v>3210</v>
      </c>
      <c r="C474" s="212" t="s">
        <v>4674</v>
      </c>
      <c r="D474" s="212" t="str">
        <f t="shared" si="15"/>
        <v>ZATVOR U BJELOVARU (3210)</v>
      </c>
      <c r="E474" s="212" t="s">
        <v>4675</v>
      </c>
      <c r="F474" s="212" t="s">
        <v>3663</v>
      </c>
      <c r="G474" s="213">
        <v>3331369</v>
      </c>
      <c r="H474" s="214" t="s">
        <v>4676</v>
      </c>
      <c r="J474" s="204"/>
    </row>
    <row r="475" spans="1:10" ht="15" customHeight="1">
      <c r="A475" s="210">
        <f t="shared" si="14"/>
        <v>472</v>
      </c>
      <c r="B475" s="211">
        <v>3228</v>
      </c>
      <c r="C475" s="212" t="s">
        <v>4677</v>
      </c>
      <c r="D475" s="212" t="str">
        <f t="shared" si="15"/>
        <v>ZATVOR U DUBROVNIKU  (3228)</v>
      </c>
      <c r="E475" s="212" t="s">
        <v>4678</v>
      </c>
      <c r="F475" s="212" t="s">
        <v>314</v>
      </c>
      <c r="G475" s="213">
        <v>3312062</v>
      </c>
      <c r="H475" s="214" t="s">
        <v>4679</v>
      </c>
      <c r="J475" s="204"/>
    </row>
    <row r="476" spans="1:10" ht="15" customHeight="1">
      <c r="A476" s="210">
        <f t="shared" si="14"/>
        <v>473</v>
      </c>
      <c r="B476" s="211">
        <v>3236</v>
      </c>
      <c r="C476" s="212" t="s">
        <v>4680</v>
      </c>
      <c r="D476" s="212" t="str">
        <f t="shared" si="15"/>
        <v>ZATVOR U GOSPIĆU (3236)</v>
      </c>
      <c r="E476" s="212" t="s">
        <v>4681</v>
      </c>
      <c r="F476" s="212" t="s">
        <v>510</v>
      </c>
      <c r="G476" s="213">
        <v>3345971</v>
      </c>
      <c r="H476" s="214" t="s">
        <v>4682</v>
      </c>
      <c r="J476" s="204"/>
    </row>
    <row r="477" spans="1:10" ht="15" customHeight="1">
      <c r="A477" s="210">
        <f t="shared" si="14"/>
        <v>474</v>
      </c>
      <c r="B477" s="211">
        <v>3244</v>
      </c>
      <c r="C477" s="212" t="s">
        <v>4683</v>
      </c>
      <c r="D477" s="212" t="str">
        <f t="shared" si="15"/>
        <v>ZATVOR U KARLOVCU (3244)</v>
      </c>
      <c r="E477" s="212" t="s">
        <v>4684</v>
      </c>
      <c r="F477" s="212" t="s">
        <v>514</v>
      </c>
      <c r="G477" s="213">
        <v>3141667</v>
      </c>
      <c r="H477" s="214" t="s">
        <v>4685</v>
      </c>
      <c r="J477" s="204"/>
    </row>
    <row r="478" spans="1:10" ht="15" customHeight="1">
      <c r="A478" s="210">
        <f t="shared" si="14"/>
        <v>475</v>
      </c>
      <c r="B478" s="211">
        <v>3252</v>
      </c>
      <c r="C478" s="212" t="s">
        <v>4686</v>
      </c>
      <c r="D478" s="212" t="str">
        <f t="shared" si="15"/>
        <v>ZATVOR U OSIJEKU (3252)</v>
      </c>
      <c r="E478" s="212" t="s">
        <v>4687</v>
      </c>
      <c r="F478" s="212" t="s">
        <v>279</v>
      </c>
      <c r="G478" s="213">
        <v>3055264</v>
      </c>
      <c r="H478" s="214" t="s">
        <v>4688</v>
      </c>
      <c r="J478" s="204"/>
    </row>
    <row r="479" spans="1:10" ht="15" customHeight="1">
      <c r="A479" s="210">
        <f t="shared" si="14"/>
        <v>476</v>
      </c>
      <c r="B479" s="211">
        <v>50400</v>
      </c>
      <c r="C479" s="212" t="s">
        <v>4689</v>
      </c>
      <c r="D479" s="212" t="str">
        <f t="shared" si="15"/>
        <v>ZATVOR U POŽEGI (50400)</v>
      </c>
      <c r="E479" s="212" t="s">
        <v>4690</v>
      </c>
      <c r="F479" s="212" t="s">
        <v>518</v>
      </c>
      <c r="G479" s="213">
        <v>4982533</v>
      </c>
      <c r="H479" s="214" t="s">
        <v>4691</v>
      </c>
      <c r="J479" s="204"/>
    </row>
    <row r="480" spans="1:10" ht="15" customHeight="1">
      <c r="A480" s="210">
        <f t="shared" si="14"/>
        <v>477</v>
      </c>
      <c r="B480" s="211">
        <v>3277</v>
      </c>
      <c r="C480" s="212" t="s">
        <v>4692</v>
      </c>
      <c r="D480" s="212" t="str">
        <f t="shared" si="15"/>
        <v>ZATVOR U PULI (3277)</v>
      </c>
      <c r="E480" s="212" t="s">
        <v>4693</v>
      </c>
      <c r="F480" s="212" t="s">
        <v>307</v>
      </c>
      <c r="G480" s="213">
        <v>3227693</v>
      </c>
      <c r="H480" s="214" t="s">
        <v>4694</v>
      </c>
      <c r="J480" s="204"/>
    </row>
    <row r="481" spans="1:10" ht="15" customHeight="1">
      <c r="A481" s="210">
        <f t="shared" si="14"/>
        <v>478</v>
      </c>
      <c r="B481" s="211">
        <v>3285</v>
      </c>
      <c r="C481" s="212" t="s">
        <v>4695</v>
      </c>
      <c r="D481" s="212" t="str">
        <f t="shared" si="15"/>
        <v>ZATVOR U RIJECI (3285)</v>
      </c>
      <c r="E481" s="212" t="s">
        <v>4696</v>
      </c>
      <c r="F481" s="212" t="s">
        <v>321</v>
      </c>
      <c r="G481" s="213">
        <v>3341640</v>
      </c>
      <c r="H481" s="214" t="s">
        <v>4697</v>
      </c>
      <c r="J481" s="204"/>
    </row>
    <row r="482" spans="1:10" ht="15" customHeight="1">
      <c r="A482" s="210">
        <f t="shared" si="14"/>
        <v>479</v>
      </c>
      <c r="B482" s="211">
        <v>3293</v>
      </c>
      <c r="C482" s="212" t="s">
        <v>4698</v>
      </c>
      <c r="D482" s="212" t="str">
        <f t="shared" si="15"/>
        <v>ZATVOR U SISKU (3293)</v>
      </c>
      <c r="E482" s="212" t="s">
        <v>4699</v>
      </c>
      <c r="F482" s="212" t="s">
        <v>1727</v>
      </c>
      <c r="G482" s="213">
        <v>3314707</v>
      </c>
      <c r="H482" s="214" t="s">
        <v>4700</v>
      </c>
      <c r="J482" s="204"/>
    </row>
    <row r="483" spans="1:10" ht="15" customHeight="1">
      <c r="A483" s="210">
        <f t="shared" si="14"/>
        <v>480</v>
      </c>
      <c r="B483" s="211">
        <v>3308</v>
      </c>
      <c r="C483" s="212" t="s">
        <v>4701</v>
      </c>
      <c r="D483" s="212" t="str">
        <f t="shared" si="15"/>
        <v>ZATVOR U SPLITU (3308)</v>
      </c>
      <c r="E483" s="212" t="s">
        <v>4702</v>
      </c>
      <c r="F483" s="212" t="s">
        <v>361</v>
      </c>
      <c r="G483" s="213">
        <v>3148262</v>
      </c>
      <c r="H483" s="214" t="s">
        <v>4703</v>
      </c>
      <c r="J483" s="204"/>
    </row>
    <row r="484" spans="1:10" ht="15" customHeight="1">
      <c r="A484" s="210">
        <f t="shared" si="14"/>
        <v>481</v>
      </c>
      <c r="B484" s="211">
        <v>3316</v>
      </c>
      <c r="C484" s="212" t="s">
        <v>4704</v>
      </c>
      <c r="D484" s="212" t="str">
        <f t="shared" si="15"/>
        <v>ZATVOR U ŠIBENIKU (3316)</v>
      </c>
      <c r="E484" s="212" t="s">
        <v>4705</v>
      </c>
      <c r="F484" s="212" t="s">
        <v>525</v>
      </c>
      <c r="G484" s="213">
        <v>3060870</v>
      </c>
      <c r="H484" s="214" t="s">
        <v>4706</v>
      </c>
      <c r="J484" s="204"/>
    </row>
    <row r="485" spans="1:10" ht="15" customHeight="1">
      <c r="A485" s="210">
        <f t="shared" si="14"/>
        <v>482</v>
      </c>
      <c r="B485" s="211">
        <v>3324</v>
      </c>
      <c r="C485" s="212" t="s">
        <v>4707</v>
      </c>
      <c r="D485" s="212" t="str">
        <f t="shared" si="15"/>
        <v>ZATVOR U VARAŽDINU (3324)</v>
      </c>
      <c r="E485" s="212" t="s">
        <v>4708</v>
      </c>
      <c r="F485" s="212" t="s">
        <v>446</v>
      </c>
      <c r="G485" s="213">
        <v>3048560</v>
      </c>
      <c r="H485" s="214" t="s">
        <v>4709</v>
      </c>
      <c r="J485" s="204"/>
    </row>
    <row r="486" spans="1:10" ht="15" customHeight="1">
      <c r="A486" s="210">
        <f t="shared" si="14"/>
        <v>483</v>
      </c>
      <c r="B486" s="211">
        <v>3332</v>
      </c>
      <c r="C486" s="212" t="s">
        <v>4710</v>
      </c>
      <c r="D486" s="212" t="str">
        <f t="shared" si="15"/>
        <v>ZATVOR U ZADRU (3332)</v>
      </c>
      <c r="E486" s="212" t="s">
        <v>4711</v>
      </c>
      <c r="F486" s="212" t="s">
        <v>317</v>
      </c>
      <c r="G486" s="213">
        <v>3159973</v>
      </c>
      <c r="H486" s="214" t="s">
        <v>4712</v>
      </c>
      <c r="J486" s="204"/>
    </row>
    <row r="487" spans="1:10" ht="15" customHeight="1">
      <c r="A487" s="210">
        <f t="shared" si="14"/>
        <v>484</v>
      </c>
      <c r="B487" s="211">
        <v>3349</v>
      </c>
      <c r="C487" s="212" t="s">
        <v>4713</v>
      </c>
      <c r="D487" s="212" t="str">
        <f t="shared" si="15"/>
        <v>ZATVOR U ZAGREBU (3349)</v>
      </c>
      <c r="E487" s="212" t="s">
        <v>4645</v>
      </c>
      <c r="F487" s="212" t="s">
        <v>276</v>
      </c>
      <c r="G487" s="213">
        <v>3226476</v>
      </c>
      <c r="H487" s="214" t="s">
        <v>4714</v>
      </c>
      <c r="J487" s="204"/>
    </row>
    <row r="488" spans="1:10" ht="15" customHeight="1">
      <c r="A488" s="210">
        <f t="shared" si="14"/>
        <v>485</v>
      </c>
      <c r="B488" s="211">
        <v>3148</v>
      </c>
      <c r="C488" s="212" t="s">
        <v>4715</v>
      </c>
      <c r="D488" s="212" t="str">
        <f t="shared" si="15"/>
        <v>ZATVORSKA BOLNICA U ZAGREBU (3148)</v>
      </c>
      <c r="E488" s="212" t="s">
        <v>4716</v>
      </c>
      <c r="F488" s="212" t="s">
        <v>276</v>
      </c>
      <c r="G488" s="213">
        <v>3283089</v>
      </c>
      <c r="H488" s="214" t="s">
        <v>4717</v>
      </c>
      <c r="J488" s="204"/>
    </row>
    <row r="489" spans="1:10" ht="15" customHeight="1">
      <c r="A489" s="210">
        <f t="shared" si="14"/>
        <v>486</v>
      </c>
      <c r="B489" s="211">
        <v>3357</v>
      </c>
      <c r="C489" s="212" t="s">
        <v>4718</v>
      </c>
      <c r="D489" s="212" t="str">
        <f t="shared" si="15"/>
        <v>VRHOVNI SUD REPUBLIKE HRVATSKE (3357)</v>
      </c>
      <c r="E489" s="212" t="s">
        <v>4719</v>
      </c>
      <c r="F489" s="212" t="s">
        <v>276</v>
      </c>
      <c r="G489" s="213">
        <v>3206050</v>
      </c>
      <c r="H489" s="214" t="s">
        <v>4720</v>
      </c>
      <c r="J489" s="204"/>
    </row>
    <row r="490" spans="1:10" ht="15" customHeight="1">
      <c r="A490" s="210">
        <f t="shared" si="14"/>
        <v>487</v>
      </c>
      <c r="B490" s="211">
        <v>3582</v>
      </c>
      <c r="C490" s="212" t="s">
        <v>4721</v>
      </c>
      <c r="D490" s="212" t="str">
        <f t="shared" si="15"/>
        <v>VISOKI TRGOVAČKI SUD REPUBLIKE HRVATSKE (3582)</v>
      </c>
      <c r="E490" s="212" t="s">
        <v>4722</v>
      </c>
      <c r="F490" s="212" t="s">
        <v>276</v>
      </c>
      <c r="G490" s="213">
        <v>3271064</v>
      </c>
      <c r="H490" s="214" t="s">
        <v>4723</v>
      </c>
      <c r="J490" s="204"/>
    </row>
    <row r="491" spans="1:10" ht="15" customHeight="1">
      <c r="A491" s="210">
        <f t="shared" si="14"/>
        <v>488</v>
      </c>
      <c r="B491" s="211">
        <v>20639</v>
      </c>
      <c r="C491" s="212" t="s">
        <v>4724</v>
      </c>
      <c r="D491" s="212" t="str">
        <f t="shared" si="15"/>
        <v>VISOKI UPRAVNI SUD REPUBLIKE HRVATSKE (20639)</v>
      </c>
      <c r="E491" s="212" t="s">
        <v>4725</v>
      </c>
      <c r="F491" s="212" t="s">
        <v>276</v>
      </c>
      <c r="G491" s="213">
        <v>3232719</v>
      </c>
      <c r="H491" s="214" t="s">
        <v>4726</v>
      </c>
      <c r="J491" s="204"/>
    </row>
    <row r="492" spans="1:10" ht="15" customHeight="1">
      <c r="A492" s="210">
        <f t="shared" si="14"/>
        <v>489</v>
      </c>
      <c r="B492" s="211">
        <v>47140</v>
      </c>
      <c r="C492" s="212" t="s">
        <v>4727</v>
      </c>
      <c r="D492" s="212" t="str">
        <f t="shared" si="15"/>
        <v>UPRAVNI SUD U OSIJEKU (47140)</v>
      </c>
      <c r="E492" s="212" t="s">
        <v>4728</v>
      </c>
      <c r="F492" s="212" t="s">
        <v>279</v>
      </c>
      <c r="G492" s="213">
        <v>2790416</v>
      </c>
      <c r="H492" s="214" t="s">
        <v>4729</v>
      </c>
      <c r="J492" s="204"/>
    </row>
    <row r="493" spans="1:10" ht="15" customHeight="1">
      <c r="A493" s="210">
        <f t="shared" si="14"/>
        <v>490</v>
      </c>
      <c r="B493" s="211">
        <v>47158</v>
      </c>
      <c r="C493" s="212" t="s">
        <v>4730</v>
      </c>
      <c r="D493" s="212" t="str">
        <f t="shared" si="15"/>
        <v>UPRAVNI SUD U RIJECI (47158)</v>
      </c>
      <c r="E493" s="212" t="s">
        <v>4731</v>
      </c>
      <c r="F493" s="212" t="s">
        <v>321</v>
      </c>
      <c r="G493" s="213">
        <v>2790424</v>
      </c>
      <c r="H493" s="214" t="s">
        <v>4732</v>
      </c>
      <c r="J493" s="204"/>
    </row>
    <row r="494" spans="1:10" ht="15" customHeight="1">
      <c r="A494" s="210">
        <f t="shared" si="14"/>
        <v>491</v>
      </c>
      <c r="B494" s="211">
        <v>47203</v>
      </c>
      <c r="C494" s="212" t="s">
        <v>4733</v>
      </c>
      <c r="D494" s="212" t="str">
        <f t="shared" si="15"/>
        <v>UPRAVNI SUD U SPLITU (47203)</v>
      </c>
      <c r="E494" s="212" t="s">
        <v>4734</v>
      </c>
      <c r="F494" s="212" t="s">
        <v>361</v>
      </c>
      <c r="G494" s="213">
        <v>2790432</v>
      </c>
      <c r="H494" s="214" t="s">
        <v>4735</v>
      </c>
      <c r="J494" s="204"/>
    </row>
    <row r="495" spans="1:10" ht="15" customHeight="1">
      <c r="A495" s="210">
        <f t="shared" si="14"/>
        <v>492</v>
      </c>
      <c r="B495" s="211">
        <v>47199</v>
      </c>
      <c r="C495" s="212" t="s">
        <v>4736</v>
      </c>
      <c r="D495" s="212" t="str">
        <f t="shared" si="15"/>
        <v>UPRAVNI SUD U ZAGREBU (47199)</v>
      </c>
      <c r="E495" s="212" t="s">
        <v>4737</v>
      </c>
      <c r="F495" s="212" t="s">
        <v>276</v>
      </c>
      <c r="G495" s="213">
        <v>2790467</v>
      </c>
      <c r="H495" s="214" t="s">
        <v>4738</v>
      </c>
      <c r="J495" s="204"/>
    </row>
    <row r="496" spans="1:10" ht="15" customHeight="1">
      <c r="A496" s="210">
        <f t="shared" si="14"/>
        <v>493</v>
      </c>
      <c r="B496" s="211">
        <v>3365</v>
      </c>
      <c r="C496" s="212" t="s">
        <v>4739</v>
      </c>
      <c r="D496" s="212" t="str">
        <f t="shared" si="15"/>
        <v>DRŽAVNO ODVJETNIŠTVO REPUBLIKE HRVATSKE (3365)</v>
      </c>
      <c r="E496" s="212" t="s">
        <v>4740</v>
      </c>
      <c r="F496" s="212" t="s">
        <v>276</v>
      </c>
      <c r="G496" s="213">
        <v>3277151</v>
      </c>
      <c r="H496" s="214" t="s">
        <v>4741</v>
      </c>
      <c r="J496" s="204"/>
    </row>
    <row r="497" spans="1:10" ht="15" customHeight="1">
      <c r="A497" s="210">
        <f t="shared" si="14"/>
        <v>494</v>
      </c>
      <c r="B497" s="211">
        <v>47287</v>
      </c>
      <c r="C497" s="212" t="s">
        <v>4742</v>
      </c>
      <c r="D497" s="212" t="str">
        <f t="shared" si="15"/>
        <v>DRŽAVNO ODVJETNIČKO VIJEĆE (47287)</v>
      </c>
      <c r="E497" s="212" t="s">
        <v>4639</v>
      </c>
      <c r="F497" s="212" t="s">
        <v>276</v>
      </c>
      <c r="G497" s="213">
        <v>2797712</v>
      </c>
      <c r="H497" s="214" t="s">
        <v>4743</v>
      </c>
      <c r="J497" s="204"/>
    </row>
    <row r="498" spans="1:10" ht="15" customHeight="1">
      <c r="A498" s="210">
        <f t="shared" si="14"/>
        <v>495</v>
      </c>
      <c r="B498" s="211">
        <v>47295</v>
      </c>
      <c r="C498" s="212" t="s">
        <v>4744</v>
      </c>
      <c r="D498" s="212" t="str">
        <f t="shared" si="15"/>
        <v>DRŽAVNO SUDBENO VIJEĆE (47295)</v>
      </c>
      <c r="E498" s="212" t="s">
        <v>4745</v>
      </c>
      <c r="F498" s="212" t="s">
        <v>276</v>
      </c>
      <c r="G498" s="213">
        <v>2747987</v>
      </c>
      <c r="H498" s="214" t="s">
        <v>4746</v>
      </c>
      <c r="J498" s="204"/>
    </row>
    <row r="499" spans="1:10" ht="15" customHeight="1">
      <c r="A499" s="210">
        <f t="shared" si="14"/>
        <v>496</v>
      </c>
      <c r="B499" s="211">
        <v>3381</v>
      </c>
      <c r="C499" s="212" t="s">
        <v>4747</v>
      </c>
      <c r="D499" s="212" t="str">
        <f t="shared" si="15"/>
        <v>VISOKI PREKRŠAJNII SUD REPUBLIKE HRVATSKE (3381)</v>
      </c>
      <c r="E499" s="212" t="s">
        <v>4748</v>
      </c>
      <c r="F499" s="212" t="s">
        <v>276</v>
      </c>
      <c r="G499" s="213">
        <v>3206068</v>
      </c>
      <c r="H499" s="214" t="s">
        <v>4749</v>
      </c>
      <c r="J499" s="204"/>
    </row>
    <row r="500" spans="1:10" ht="15" customHeight="1">
      <c r="A500" s="210">
        <f t="shared" si="14"/>
        <v>497</v>
      </c>
      <c r="B500" s="211">
        <v>50928</v>
      </c>
      <c r="C500" s="212" t="s">
        <v>4750</v>
      </c>
      <c r="D500" s="212" t="str">
        <f t="shared" si="15"/>
        <v>VISOKI KAZNENI SUD REPUBLIKE HRVATSKE (50928)</v>
      </c>
      <c r="E500" s="212" t="s">
        <v>4751</v>
      </c>
      <c r="F500" s="212" t="s">
        <v>276</v>
      </c>
      <c r="G500" s="213">
        <v>5090890</v>
      </c>
      <c r="H500" s="214" t="s">
        <v>4752</v>
      </c>
      <c r="J500" s="204"/>
    </row>
    <row r="501" spans="1:10" ht="15" customHeight="1">
      <c r="A501" s="210">
        <f t="shared" si="14"/>
        <v>498</v>
      </c>
      <c r="B501" s="211">
        <v>20743</v>
      </c>
      <c r="C501" s="212" t="s">
        <v>4753</v>
      </c>
      <c r="D501" s="212" t="str">
        <f t="shared" si="15"/>
        <v>ŽUPANIJSKI SUD U BJELOVARU (20743)</v>
      </c>
      <c r="E501" s="212" t="s">
        <v>4754</v>
      </c>
      <c r="F501" s="212" t="s">
        <v>3663</v>
      </c>
      <c r="G501" s="213">
        <v>3308677</v>
      </c>
      <c r="H501" s="214" t="s">
        <v>4755</v>
      </c>
      <c r="J501" s="204"/>
    </row>
    <row r="502" spans="1:10" ht="15" customHeight="1">
      <c r="A502" s="210">
        <f t="shared" si="14"/>
        <v>499</v>
      </c>
      <c r="B502" s="211">
        <v>3390</v>
      </c>
      <c r="C502" s="212" t="s">
        <v>4756</v>
      </c>
      <c r="D502" s="212" t="str">
        <f t="shared" si="15"/>
        <v>ŽUPANIJSKI SUD U DUBROVNIKU (3390)</v>
      </c>
      <c r="E502" s="212" t="s">
        <v>4757</v>
      </c>
      <c r="F502" s="212" t="s">
        <v>314</v>
      </c>
      <c r="G502" s="213">
        <v>3304680</v>
      </c>
      <c r="H502" s="214" t="s">
        <v>4758</v>
      </c>
      <c r="J502" s="204"/>
    </row>
    <row r="503" spans="1:10" ht="15" customHeight="1">
      <c r="A503" s="210">
        <f t="shared" si="14"/>
        <v>500</v>
      </c>
      <c r="B503" s="211">
        <v>3412</v>
      </c>
      <c r="C503" s="212" t="s">
        <v>4759</v>
      </c>
      <c r="D503" s="212" t="str">
        <f t="shared" si="15"/>
        <v>ŽUPANIJSKI SUD U KARLOVCU (3412)</v>
      </c>
      <c r="E503" s="212" t="s">
        <v>4760</v>
      </c>
      <c r="F503" s="212" t="s">
        <v>514</v>
      </c>
      <c r="G503" s="213">
        <v>3123502</v>
      </c>
      <c r="H503" s="214" t="s">
        <v>4761</v>
      </c>
      <c r="J503" s="204"/>
    </row>
    <row r="504" spans="1:10" ht="15" customHeight="1">
      <c r="A504" s="210">
        <f t="shared" si="14"/>
        <v>501</v>
      </c>
      <c r="B504" s="211">
        <v>3429</v>
      </c>
      <c r="C504" s="212" t="s">
        <v>4762</v>
      </c>
      <c r="D504" s="212" t="str">
        <f t="shared" si="15"/>
        <v>ŽUPANIJSKI SUD U OSIJEKU (3429)</v>
      </c>
      <c r="E504" s="212" t="s">
        <v>4763</v>
      </c>
      <c r="F504" s="212" t="s">
        <v>279</v>
      </c>
      <c r="G504" s="213">
        <v>3014819</v>
      </c>
      <c r="H504" s="214" t="s">
        <v>4764</v>
      </c>
      <c r="J504" s="204"/>
    </row>
    <row r="505" spans="1:10" ht="15" customHeight="1">
      <c r="A505" s="210">
        <f t="shared" si="14"/>
        <v>502</v>
      </c>
      <c r="B505" s="211">
        <v>3445</v>
      </c>
      <c r="C505" s="212" t="s">
        <v>4765</v>
      </c>
      <c r="D505" s="212" t="str">
        <f t="shared" si="15"/>
        <v>ŽUPANIJSKI SUD U PULI - POLA (3445)</v>
      </c>
      <c r="E505" s="212" t="s">
        <v>4766</v>
      </c>
      <c r="F505" s="212" t="s">
        <v>4767</v>
      </c>
      <c r="G505" s="213">
        <v>3204138</v>
      </c>
      <c r="H505" s="214" t="s">
        <v>4768</v>
      </c>
      <c r="J505" s="204"/>
    </row>
    <row r="506" spans="1:10" ht="15" customHeight="1">
      <c r="A506" s="210">
        <f t="shared" si="14"/>
        <v>503</v>
      </c>
      <c r="B506" s="211">
        <v>3453</v>
      </c>
      <c r="C506" s="212" t="s">
        <v>4769</v>
      </c>
      <c r="D506" s="212" t="str">
        <f t="shared" si="15"/>
        <v>ŽUPANIJSKI SUD U RIJECI (3453)</v>
      </c>
      <c r="E506" s="212" t="s">
        <v>4770</v>
      </c>
      <c r="F506" s="212" t="s">
        <v>321</v>
      </c>
      <c r="G506" s="213">
        <v>3321401</v>
      </c>
      <c r="H506" s="214" t="s">
        <v>4771</v>
      </c>
      <c r="J506" s="204"/>
    </row>
    <row r="507" spans="1:10" ht="15" customHeight="1">
      <c r="A507" s="210">
        <f t="shared" si="14"/>
        <v>504</v>
      </c>
      <c r="B507" s="211">
        <v>3461</v>
      </c>
      <c r="C507" s="212" t="s">
        <v>4772</v>
      </c>
      <c r="D507" s="212" t="str">
        <f t="shared" si="15"/>
        <v>ŽUPANIJSKI SUD U SISKU (3461)</v>
      </c>
      <c r="E507" s="212" t="s">
        <v>4773</v>
      </c>
      <c r="F507" s="212" t="s">
        <v>1727</v>
      </c>
      <c r="G507" s="213">
        <v>3314731</v>
      </c>
      <c r="H507" s="214" t="s">
        <v>4774</v>
      </c>
      <c r="J507" s="204"/>
    </row>
    <row r="508" spans="1:10" ht="15" customHeight="1">
      <c r="A508" s="210">
        <f t="shared" ref="A508:A571" si="16">+A507+1</f>
        <v>505</v>
      </c>
      <c r="B508" s="211">
        <v>20778</v>
      </c>
      <c r="C508" s="212" t="s">
        <v>4775</v>
      </c>
      <c r="D508" s="212" t="str">
        <f t="shared" si="15"/>
        <v>ŽUPANIJSKI SUD U SLAVONSKOM BRODU (20778)</v>
      </c>
      <c r="E508" s="212" t="s">
        <v>4776</v>
      </c>
      <c r="F508" s="212" t="s">
        <v>1772</v>
      </c>
      <c r="G508" s="213">
        <v>1228226</v>
      </c>
      <c r="H508" s="214" t="s">
        <v>4777</v>
      </c>
      <c r="J508" s="204"/>
    </row>
    <row r="509" spans="1:10" ht="15" customHeight="1">
      <c r="A509" s="210">
        <f t="shared" si="16"/>
        <v>506</v>
      </c>
      <c r="B509" s="211">
        <v>3470</v>
      </c>
      <c r="C509" s="212" t="s">
        <v>4778</v>
      </c>
      <c r="D509" s="212" t="str">
        <f t="shared" si="15"/>
        <v>ŽUPANIJSKI SUD U SPLITU (3470)</v>
      </c>
      <c r="E509" s="212" t="s">
        <v>4779</v>
      </c>
      <c r="F509" s="212" t="s">
        <v>361</v>
      </c>
      <c r="G509" s="213">
        <v>3118673</v>
      </c>
      <c r="H509" s="214" t="s">
        <v>4780</v>
      </c>
      <c r="J509" s="204"/>
    </row>
    <row r="510" spans="1:10" ht="15" customHeight="1">
      <c r="A510" s="210">
        <f t="shared" si="16"/>
        <v>507</v>
      </c>
      <c r="B510" s="211">
        <v>20786</v>
      </c>
      <c r="C510" s="212" t="s">
        <v>4781</v>
      </c>
      <c r="D510" s="212" t="str">
        <f t="shared" si="15"/>
        <v>ŽUPANIJSKI SUD U ŠIBENIKU (20786)</v>
      </c>
      <c r="E510" s="212" t="s">
        <v>4782</v>
      </c>
      <c r="F510" s="212" t="s">
        <v>525</v>
      </c>
      <c r="G510" s="213">
        <v>3019799</v>
      </c>
      <c r="H510" s="214" t="s">
        <v>4783</v>
      </c>
      <c r="J510" s="204"/>
    </row>
    <row r="511" spans="1:10" ht="15" customHeight="1">
      <c r="A511" s="210">
        <f t="shared" si="16"/>
        <v>508</v>
      </c>
      <c r="B511" s="211">
        <v>3488</v>
      </c>
      <c r="C511" s="212" t="s">
        <v>4784</v>
      </c>
      <c r="D511" s="212" t="str">
        <f t="shared" si="15"/>
        <v>ŽUPANIJSKI SUD U VARAŽDINU (3488)</v>
      </c>
      <c r="E511" s="212" t="s">
        <v>4398</v>
      </c>
      <c r="F511" s="212" t="s">
        <v>446</v>
      </c>
      <c r="G511" s="213">
        <v>3006719</v>
      </c>
      <c r="H511" s="214" t="s">
        <v>4785</v>
      </c>
      <c r="J511" s="204"/>
    </row>
    <row r="512" spans="1:10" ht="15" customHeight="1">
      <c r="A512" s="210">
        <f t="shared" si="16"/>
        <v>509</v>
      </c>
      <c r="B512" s="211">
        <v>23421</v>
      </c>
      <c r="C512" s="212" t="s">
        <v>4786</v>
      </c>
      <c r="D512" s="212" t="str">
        <f t="shared" si="15"/>
        <v>ŽUPANIJSKI SUD U VELIKOJ GORICI (23421)</v>
      </c>
      <c r="E512" s="212" t="s">
        <v>4787</v>
      </c>
      <c r="F512" s="212" t="s">
        <v>3593</v>
      </c>
      <c r="G512" s="213">
        <v>1476351</v>
      </c>
      <c r="H512" s="214" t="s">
        <v>4788</v>
      </c>
      <c r="J512" s="204"/>
    </row>
    <row r="513" spans="1:10" ht="15" customHeight="1">
      <c r="A513" s="210">
        <f t="shared" si="16"/>
        <v>510</v>
      </c>
      <c r="B513" s="211">
        <v>20809</v>
      </c>
      <c r="C513" s="212" t="s">
        <v>4789</v>
      </c>
      <c r="D513" s="212" t="str">
        <f t="shared" si="15"/>
        <v>ŽUPANIJSKI SUD U VUKOVARU (20809)</v>
      </c>
      <c r="E513" s="212" t="s">
        <v>4790</v>
      </c>
      <c r="F513" s="212" t="s">
        <v>502</v>
      </c>
      <c r="G513" s="213">
        <v>1210696</v>
      </c>
      <c r="H513" s="214" t="s">
        <v>4791</v>
      </c>
      <c r="J513" s="204"/>
    </row>
    <row r="514" spans="1:10" ht="15" customHeight="1">
      <c r="A514" s="210">
        <f t="shared" si="16"/>
        <v>511</v>
      </c>
      <c r="B514" s="211">
        <v>3496</v>
      </c>
      <c r="C514" s="212" t="s">
        <v>4792</v>
      </c>
      <c r="D514" s="212" t="str">
        <f t="shared" si="15"/>
        <v>ŽUPANIJSKI SUD U ZADRU (3496)</v>
      </c>
      <c r="E514" s="212" t="s">
        <v>4793</v>
      </c>
      <c r="F514" s="212" t="s">
        <v>317</v>
      </c>
      <c r="G514" s="213">
        <v>3142434</v>
      </c>
      <c r="H514" s="214" t="s">
        <v>4794</v>
      </c>
      <c r="J514" s="204"/>
    </row>
    <row r="515" spans="1:10" ht="15" customHeight="1">
      <c r="A515" s="210">
        <f t="shared" si="16"/>
        <v>512</v>
      </c>
      <c r="B515" s="211">
        <v>3507</v>
      </c>
      <c r="C515" s="212" t="s">
        <v>4795</v>
      </c>
      <c r="D515" s="212" t="str">
        <f t="shared" si="15"/>
        <v>ŽUPANIJSKI SUD U ZAGREBU (3507)</v>
      </c>
      <c r="E515" s="212" t="s">
        <v>4751</v>
      </c>
      <c r="F515" s="212" t="s">
        <v>276</v>
      </c>
      <c r="G515" s="213">
        <v>3206076</v>
      </c>
      <c r="H515" s="214" t="s">
        <v>4796</v>
      </c>
      <c r="J515" s="204"/>
    </row>
    <row r="516" spans="1:10" ht="15" customHeight="1">
      <c r="A516" s="210">
        <f t="shared" si="16"/>
        <v>513</v>
      </c>
      <c r="B516" s="211">
        <v>3515</v>
      </c>
      <c r="C516" s="212" t="s">
        <v>4797</v>
      </c>
      <c r="D516" s="212" t="str">
        <f t="shared" ref="D516:D568" si="17">C516&amp;" ("&amp;B516&amp;")"</f>
        <v>TRGOVAČKI SUD U BJELOVARU (3515)</v>
      </c>
      <c r="E516" s="212" t="s">
        <v>4798</v>
      </c>
      <c r="F516" s="212" t="s">
        <v>3663</v>
      </c>
      <c r="G516" s="213">
        <v>3333299</v>
      </c>
      <c r="H516" s="214" t="s">
        <v>4799</v>
      </c>
      <c r="J516" s="204"/>
    </row>
    <row r="517" spans="1:10" ht="15" customHeight="1">
      <c r="A517" s="210">
        <f t="shared" si="16"/>
        <v>514</v>
      </c>
      <c r="B517" s="211">
        <v>50598</v>
      </c>
      <c r="C517" s="212" t="s">
        <v>4800</v>
      </c>
      <c r="D517" s="212" t="str">
        <f t="shared" si="17"/>
        <v>TRGOVAČKI SUD U DUBROVNIKU (50598)</v>
      </c>
      <c r="E517" s="212" t="s">
        <v>4801</v>
      </c>
      <c r="F517" s="212" t="s">
        <v>314</v>
      </c>
      <c r="G517" s="215" t="s">
        <v>4802</v>
      </c>
      <c r="H517" s="214" t="s">
        <v>4803</v>
      </c>
      <c r="J517" s="204"/>
    </row>
    <row r="518" spans="1:10" ht="15" customHeight="1">
      <c r="A518" s="210">
        <f t="shared" si="16"/>
        <v>515</v>
      </c>
      <c r="B518" s="211">
        <v>3531</v>
      </c>
      <c r="C518" s="212" t="s">
        <v>4804</v>
      </c>
      <c r="D518" s="212" t="str">
        <f t="shared" si="17"/>
        <v>TRGOVAČKI SUD U OSIJEKU (3531)</v>
      </c>
      <c r="E518" s="212" t="s">
        <v>4805</v>
      </c>
      <c r="F518" s="212" t="s">
        <v>279</v>
      </c>
      <c r="G518" s="213">
        <v>3014797</v>
      </c>
      <c r="H518" s="214" t="s">
        <v>4806</v>
      </c>
      <c r="J518" s="204"/>
    </row>
    <row r="519" spans="1:10" ht="15" customHeight="1">
      <c r="A519" s="210">
        <f t="shared" si="16"/>
        <v>516</v>
      </c>
      <c r="B519" s="211">
        <v>48752</v>
      </c>
      <c r="C519" s="212" t="s">
        <v>4807</v>
      </c>
      <c r="D519" s="212" t="str">
        <f t="shared" si="17"/>
        <v>TRGOVAČKI SUD U PAZINU (48752)</v>
      </c>
      <c r="E519" s="212" t="s">
        <v>4808</v>
      </c>
      <c r="F519" s="212" t="s">
        <v>3679</v>
      </c>
      <c r="G519" s="213">
        <v>4344677</v>
      </c>
      <c r="H519" s="214" t="s">
        <v>4809</v>
      </c>
      <c r="J519" s="204"/>
    </row>
    <row r="520" spans="1:10" ht="15" customHeight="1">
      <c r="A520" s="210">
        <f t="shared" si="16"/>
        <v>517</v>
      </c>
      <c r="B520" s="211">
        <v>3540</v>
      </c>
      <c r="C520" s="212" t="s">
        <v>4810</v>
      </c>
      <c r="D520" s="212" t="str">
        <f t="shared" si="17"/>
        <v>TRGOVAČKI SUD U RIJECI (3540)</v>
      </c>
      <c r="E520" s="212" t="s">
        <v>4811</v>
      </c>
      <c r="F520" s="212" t="s">
        <v>321</v>
      </c>
      <c r="G520" s="213">
        <v>3321410</v>
      </c>
      <c r="H520" s="214" t="s">
        <v>4812</v>
      </c>
      <c r="J520" s="204"/>
    </row>
    <row r="521" spans="1:10" ht="15" customHeight="1">
      <c r="A521" s="210">
        <f t="shared" si="16"/>
        <v>518</v>
      </c>
      <c r="B521" s="211">
        <v>3566</v>
      </c>
      <c r="C521" s="212" t="s">
        <v>4813</v>
      </c>
      <c r="D521" s="212" t="str">
        <f t="shared" si="17"/>
        <v>TRGOVAČKI SUD U SPLITU (3566)</v>
      </c>
      <c r="E521" s="212" t="s">
        <v>4814</v>
      </c>
      <c r="F521" s="212" t="s">
        <v>361</v>
      </c>
      <c r="G521" s="213">
        <v>3119505</v>
      </c>
      <c r="H521" s="214" t="s">
        <v>4815</v>
      </c>
      <c r="J521" s="204"/>
    </row>
    <row r="522" spans="1:10" ht="15" customHeight="1">
      <c r="A522" s="210">
        <f t="shared" si="16"/>
        <v>519</v>
      </c>
      <c r="B522" s="211">
        <v>3574</v>
      </c>
      <c r="C522" s="212" t="s">
        <v>4816</v>
      </c>
      <c r="D522" s="212" t="str">
        <f t="shared" si="17"/>
        <v>TRGOVAČKI SUD U VARAŽDINU (3574)</v>
      </c>
      <c r="E522" s="212" t="s">
        <v>4398</v>
      </c>
      <c r="F522" s="212" t="s">
        <v>4817</v>
      </c>
      <c r="G522" s="213">
        <v>3365042</v>
      </c>
      <c r="H522" s="214" t="s">
        <v>4818</v>
      </c>
      <c r="J522" s="204"/>
    </row>
    <row r="523" spans="1:10" ht="15" customHeight="1">
      <c r="A523" s="210">
        <f t="shared" si="16"/>
        <v>520</v>
      </c>
      <c r="B523" s="211">
        <v>23405</v>
      </c>
      <c r="C523" s="212" t="s">
        <v>4819</v>
      </c>
      <c r="D523" s="212" t="str">
        <f t="shared" si="17"/>
        <v>TRGOVAČKI SUD U ZADRU (23405)</v>
      </c>
      <c r="E523" s="212" t="s">
        <v>4820</v>
      </c>
      <c r="F523" s="212" t="s">
        <v>317</v>
      </c>
      <c r="G523" s="213">
        <v>1476793</v>
      </c>
      <c r="H523" s="214" t="s">
        <v>4821</v>
      </c>
      <c r="J523" s="204"/>
    </row>
    <row r="524" spans="1:10" ht="15" customHeight="1">
      <c r="A524" s="210">
        <f t="shared" si="16"/>
        <v>521</v>
      </c>
      <c r="B524" s="211">
        <v>20735</v>
      </c>
      <c r="C524" s="212" t="s">
        <v>4822</v>
      </c>
      <c r="D524" s="212" t="str">
        <f t="shared" si="17"/>
        <v>TRGOVAČKI SUD U ZAGREBU (20735)</v>
      </c>
      <c r="E524" s="212" t="s">
        <v>4823</v>
      </c>
      <c r="F524" s="212" t="s">
        <v>276</v>
      </c>
      <c r="G524" s="213">
        <v>3206092</v>
      </c>
      <c r="H524" s="214" t="s">
        <v>4824</v>
      </c>
      <c r="J524" s="204"/>
    </row>
    <row r="525" spans="1:10" ht="15" customHeight="1">
      <c r="A525" s="210">
        <f t="shared" si="16"/>
        <v>522</v>
      </c>
      <c r="B525" s="211">
        <v>20647</v>
      </c>
      <c r="C525" s="212" t="s">
        <v>4825</v>
      </c>
      <c r="D525" s="212" t="str">
        <f t="shared" si="17"/>
        <v>ŽUPANIJSKO DRŽAVNO ODVJETNIŠTVO U BJELOVARU (20647)</v>
      </c>
      <c r="E525" s="212" t="s">
        <v>4826</v>
      </c>
      <c r="F525" s="212" t="s">
        <v>3663</v>
      </c>
      <c r="G525" s="213">
        <v>3308685</v>
      </c>
      <c r="H525" s="214" t="s">
        <v>4827</v>
      </c>
      <c r="J525" s="204"/>
    </row>
    <row r="526" spans="1:10" ht="15" customHeight="1">
      <c r="A526" s="210">
        <f t="shared" si="16"/>
        <v>523</v>
      </c>
      <c r="B526" s="211">
        <v>3599</v>
      </c>
      <c r="C526" s="212" t="s">
        <v>4828</v>
      </c>
      <c r="D526" s="212" t="str">
        <f t="shared" si="17"/>
        <v>ŽUPANIJSKO DRŽAVNO ODVJETNIŠTVO U DUBROVNIKU (3599)</v>
      </c>
      <c r="E526" s="212" t="s">
        <v>4801</v>
      </c>
      <c r="F526" s="212" t="s">
        <v>314</v>
      </c>
      <c r="G526" s="213">
        <v>3304698</v>
      </c>
      <c r="H526" s="214" t="s">
        <v>4829</v>
      </c>
      <c r="J526" s="204"/>
    </row>
    <row r="527" spans="1:10" ht="15" customHeight="1">
      <c r="A527" s="210">
        <f t="shared" si="16"/>
        <v>524</v>
      </c>
      <c r="B527" s="211">
        <v>3611</v>
      </c>
      <c r="C527" s="212" t="s">
        <v>4830</v>
      </c>
      <c r="D527" s="212" t="str">
        <f t="shared" si="17"/>
        <v>ŽUPANIJSKO DRŽAVNO ODVJETNIŠTVO U KARLOVCU (3611)</v>
      </c>
      <c r="E527" s="212" t="s">
        <v>4760</v>
      </c>
      <c r="F527" s="212" t="s">
        <v>514</v>
      </c>
      <c r="G527" s="213">
        <v>3123545</v>
      </c>
      <c r="H527" s="214" t="s">
        <v>4831</v>
      </c>
      <c r="J527" s="204"/>
    </row>
    <row r="528" spans="1:10" ht="15" customHeight="1">
      <c r="A528" s="210">
        <f t="shared" si="16"/>
        <v>525</v>
      </c>
      <c r="B528" s="211">
        <v>3620</v>
      </c>
      <c r="C528" s="212" t="s">
        <v>4832</v>
      </c>
      <c r="D528" s="212" t="str">
        <f t="shared" si="17"/>
        <v>ŽUPANIJSKO DRŽAVNO ODVJETNIŠTVO U OSIJEKU (3620)</v>
      </c>
      <c r="E528" s="212" t="s">
        <v>4833</v>
      </c>
      <c r="F528" s="212" t="s">
        <v>279</v>
      </c>
      <c r="G528" s="213">
        <v>3014835</v>
      </c>
      <c r="H528" s="214" t="s">
        <v>4834</v>
      </c>
      <c r="J528" s="204"/>
    </row>
    <row r="529" spans="1:10" ht="15" customHeight="1">
      <c r="A529" s="210">
        <f t="shared" si="16"/>
        <v>526</v>
      </c>
      <c r="B529" s="211">
        <v>3646</v>
      </c>
      <c r="C529" s="212" t="s">
        <v>4835</v>
      </c>
      <c r="D529" s="212" t="str">
        <f t="shared" si="17"/>
        <v>ŽUPANIJSKO DRŽAVNO ODVJETNIŠTVO U PULI - POLA (3646)</v>
      </c>
      <c r="E529" s="212" t="s">
        <v>4836</v>
      </c>
      <c r="F529" s="212" t="s">
        <v>307</v>
      </c>
      <c r="G529" s="213">
        <v>3204154</v>
      </c>
      <c r="H529" s="214" t="s">
        <v>4837</v>
      </c>
      <c r="J529" s="204"/>
    </row>
    <row r="530" spans="1:10" ht="15" customHeight="1">
      <c r="A530" s="210">
        <f t="shared" si="16"/>
        <v>527</v>
      </c>
      <c r="B530" s="211">
        <v>3654</v>
      </c>
      <c r="C530" s="212" t="s">
        <v>4838</v>
      </c>
      <c r="D530" s="212" t="str">
        <f t="shared" si="17"/>
        <v>ŽUPANIJSKO DRŽAVNO ODVJETNIŠTVO U RIJECI (3654)</v>
      </c>
      <c r="E530" s="212" t="s">
        <v>4839</v>
      </c>
      <c r="F530" s="212" t="s">
        <v>321</v>
      </c>
      <c r="G530" s="213">
        <v>3332101</v>
      </c>
      <c r="H530" s="214" t="s">
        <v>4840</v>
      </c>
      <c r="J530" s="204"/>
    </row>
    <row r="531" spans="1:10" ht="15" customHeight="1">
      <c r="A531" s="210">
        <f t="shared" si="16"/>
        <v>528</v>
      </c>
      <c r="B531" s="211">
        <v>3662</v>
      </c>
      <c r="C531" s="212" t="s">
        <v>4841</v>
      </c>
      <c r="D531" s="212" t="str">
        <f t="shared" si="17"/>
        <v>ŽUPANIJSKO DRŽAVNO ODVJETNIŠTVO U SISKU (3662)</v>
      </c>
      <c r="E531" s="212" t="s">
        <v>4842</v>
      </c>
      <c r="F531" s="212" t="s">
        <v>1727</v>
      </c>
      <c r="G531" s="213">
        <v>3314758</v>
      </c>
      <c r="H531" s="214" t="s">
        <v>4843</v>
      </c>
      <c r="J531" s="204"/>
    </row>
    <row r="532" spans="1:10" ht="15" customHeight="1">
      <c r="A532" s="210">
        <f t="shared" si="16"/>
        <v>529</v>
      </c>
      <c r="B532" s="211">
        <v>23456</v>
      </c>
      <c r="C532" s="212" t="s">
        <v>4844</v>
      </c>
      <c r="D532" s="212" t="str">
        <f t="shared" si="17"/>
        <v>ŽUPANIJSKO DRŽAVNO ODVJETNIŠTVO U SLAVONSKOM BRODU (23456)</v>
      </c>
      <c r="E532" s="212" t="s">
        <v>4845</v>
      </c>
      <c r="F532" s="212" t="s">
        <v>1772</v>
      </c>
      <c r="G532" s="213">
        <v>1490141</v>
      </c>
      <c r="H532" s="214" t="s">
        <v>4846</v>
      </c>
      <c r="J532" s="204"/>
    </row>
    <row r="533" spans="1:10" ht="15" customHeight="1">
      <c r="A533" s="210">
        <f t="shared" si="16"/>
        <v>530</v>
      </c>
      <c r="B533" s="211">
        <v>3679</v>
      </c>
      <c r="C533" s="212" t="s">
        <v>4847</v>
      </c>
      <c r="D533" s="212" t="str">
        <f t="shared" si="17"/>
        <v>ŽUPANIJSKO DRŽAVNO ODVJETNIŠTVO U SPLITU (3679)</v>
      </c>
      <c r="E533" s="212" t="s">
        <v>4848</v>
      </c>
      <c r="F533" s="212" t="s">
        <v>361</v>
      </c>
      <c r="G533" s="213">
        <v>3118681</v>
      </c>
      <c r="H533" s="214" t="s">
        <v>4849</v>
      </c>
      <c r="J533" s="204"/>
    </row>
    <row r="534" spans="1:10" ht="15" customHeight="1">
      <c r="A534" s="210">
        <f t="shared" si="16"/>
        <v>531</v>
      </c>
      <c r="B534" s="211">
        <v>3687</v>
      </c>
      <c r="C534" s="212" t="s">
        <v>4850</v>
      </c>
      <c r="D534" s="212" t="str">
        <f t="shared" si="17"/>
        <v>ŽUPANIJSKO DRŽAVNO ODVJETNIŠTVO U ŠIBENIKU (3687)</v>
      </c>
      <c r="E534" s="212" t="s">
        <v>4782</v>
      </c>
      <c r="F534" s="212" t="s">
        <v>525</v>
      </c>
      <c r="G534" s="213">
        <v>3023508</v>
      </c>
      <c r="H534" s="214" t="s">
        <v>4851</v>
      </c>
      <c r="J534" s="204"/>
    </row>
    <row r="535" spans="1:10" ht="15" customHeight="1">
      <c r="A535" s="210">
        <f t="shared" si="16"/>
        <v>532</v>
      </c>
      <c r="B535" s="211">
        <v>3695</v>
      </c>
      <c r="C535" s="212" t="s">
        <v>4852</v>
      </c>
      <c r="D535" s="212" t="str">
        <f t="shared" si="17"/>
        <v>ŽUPANIJSKO DRŽAVNO ODVJETNIŠTVO U VARAŽDINU (3695)</v>
      </c>
      <c r="E535" s="212" t="s">
        <v>4398</v>
      </c>
      <c r="F535" s="212" t="s">
        <v>446</v>
      </c>
      <c r="G535" s="213">
        <v>3006743</v>
      </c>
      <c r="H535" s="214" t="s">
        <v>4853</v>
      </c>
      <c r="J535" s="204"/>
    </row>
    <row r="536" spans="1:10" ht="15" customHeight="1">
      <c r="A536" s="210">
        <f t="shared" si="16"/>
        <v>533</v>
      </c>
      <c r="B536" s="211">
        <v>23807</v>
      </c>
      <c r="C536" s="212" t="s">
        <v>4854</v>
      </c>
      <c r="D536" s="212" t="str">
        <f t="shared" si="17"/>
        <v>ŽUPANIJSKO DRŽAVNO ODVJETNIŠTVO U VELIKOJ GORICI (23807)</v>
      </c>
      <c r="E536" s="212" t="s">
        <v>4855</v>
      </c>
      <c r="F536" s="212" t="s">
        <v>3593</v>
      </c>
      <c r="G536" s="213">
        <v>1693646</v>
      </c>
      <c r="H536" s="214" t="s">
        <v>4856</v>
      </c>
      <c r="J536" s="204"/>
    </row>
    <row r="537" spans="1:10" ht="15" customHeight="1">
      <c r="A537" s="210">
        <f t="shared" si="16"/>
        <v>534</v>
      </c>
      <c r="B537" s="211">
        <v>21949</v>
      </c>
      <c r="C537" s="212" t="s">
        <v>4857</v>
      </c>
      <c r="D537" s="212" t="str">
        <f t="shared" si="17"/>
        <v>ŽUPANIJSKO DRŽAVNO ODVJETNIŠTVO U VUKOVARU (21949)</v>
      </c>
      <c r="E537" s="212" t="s">
        <v>4858</v>
      </c>
      <c r="F537" s="212" t="s">
        <v>502</v>
      </c>
      <c r="G537" s="213">
        <v>1312278</v>
      </c>
      <c r="H537" s="214" t="s">
        <v>4859</v>
      </c>
      <c r="J537" s="204"/>
    </row>
    <row r="538" spans="1:10" ht="15" customHeight="1">
      <c r="A538" s="210">
        <f t="shared" si="16"/>
        <v>535</v>
      </c>
      <c r="B538" s="211">
        <v>3700</v>
      </c>
      <c r="C538" s="212" t="s">
        <v>4860</v>
      </c>
      <c r="D538" s="212" t="str">
        <f t="shared" si="17"/>
        <v>ŽUPANIJSKO DRŽAVNO ODVJETNIŠTVO U ZADRU (3700)</v>
      </c>
      <c r="E538" s="212" t="s">
        <v>4793</v>
      </c>
      <c r="F538" s="212" t="s">
        <v>317</v>
      </c>
      <c r="G538" s="213">
        <v>3142469</v>
      </c>
      <c r="H538" s="214" t="s">
        <v>4861</v>
      </c>
      <c r="J538" s="204"/>
    </row>
    <row r="539" spans="1:10" ht="15" customHeight="1">
      <c r="A539" s="210">
        <f t="shared" si="16"/>
        <v>536</v>
      </c>
      <c r="B539" s="211">
        <v>3718</v>
      </c>
      <c r="C539" s="212" t="s">
        <v>4862</v>
      </c>
      <c r="D539" s="212" t="str">
        <f t="shared" si="17"/>
        <v>ŽUPANIJSKO DRŽAVNO ODVJETNIŠTVO U ZAGREBU (3718)</v>
      </c>
      <c r="E539" s="212" t="s">
        <v>4863</v>
      </c>
      <c r="F539" s="212" t="s">
        <v>276</v>
      </c>
      <c r="G539" s="213">
        <v>3277143</v>
      </c>
      <c r="H539" s="214" t="s">
        <v>4864</v>
      </c>
      <c r="J539" s="204"/>
    </row>
    <row r="540" spans="1:10" ht="15" customHeight="1">
      <c r="A540" s="210">
        <f t="shared" si="16"/>
        <v>537</v>
      </c>
      <c r="B540" s="211">
        <v>42910</v>
      </c>
      <c r="C540" s="212" t="s">
        <v>4865</v>
      </c>
      <c r="D540" s="212" t="str">
        <f t="shared" si="17"/>
        <v>OPĆINSKI GRAĐANSKI SUD U ZAGREBU (42910)</v>
      </c>
      <c r="E540" s="212" t="s">
        <v>4866</v>
      </c>
      <c r="F540" s="212" t="s">
        <v>276</v>
      </c>
      <c r="G540" s="213">
        <v>2279215</v>
      </c>
      <c r="H540" s="214" t="s">
        <v>4867</v>
      </c>
      <c r="J540" s="204"/>
    </row>
    <row r="541" spans="1:10" ht="15" customHeight="1">
      <c r="A541" s="210">
        <f t="shared" si="16"/>
        <v>538</v>
      </c>
      <c r="B541" s="211">
        <v>42928</v>
      </c>
      <c r="C541" s="212" t="s">
        <v>4868</v>
      </c>
      <c r="D541" s="212" t="str">
        <f t="shared" si="17"/>
        <v>OPĆINSKI KAZNENI SUD U ZAGREBU (42928)</v>
      </c>
      <c r="E541" s="212" t="s">
        <v>4869</v>
      </c>
      <c r="F541" s="212" t="s">
        <v>276</v>
      </c>
      <c r="G541" s="213">
        <v>2279223</v>
      </c>
      <c r="H541" s="214" t="s">
        <v>4870</v>
      </c>
      <c r="J541" s="204"/>
    </row>
    <row r="542" spans="1:10" ht="15" customHeight="1">
      <c r="A542" s="210">
        <f t="shared" si="16"/>
        <v>539</v>
      </c>
      <c r="B542" s="211">
        <v>20622</v>
      </c>
      <c r="C542" s="212" t="s">
        <v>4871</v>
      </c>
      <c r="D542" s="212" t="str">
        <f t="shared" si="17"/>
        <v>OPĆINSKI PREKRŠAJNI SUD U SPLITU (20622)</v>
      </c>
      <c r="E542" s="212" t="s">
        <v>4872</v>
      </c>
      <c r="F542" s="212" t="s">
        <v>361</v>
      </c>
      <c r="G542" s="213">
        <v>3133800</v>
      </c>
      <c r="H542" s="214" t="s">
        <v>4873</v>
      </c>
      <c r="J542" s="204"/>
    </row>
    <row r="543" spans="1:10" ht="15" customHeight="1">
      <c r="A543" s="210">
        <f t="shared" si="16"/>
        <v>540</v>
      </c>
      <c r="B543" s="211">
        <v>20454</v>
      </c>
      <c r="C543" s="212" t="s">
        <v>4874</v>
      </c>
      <c r="D543" s="212" t="str">
        <f t="shared" si="17"/>
        <v>OPĆINSKI PREKRŠAJNI SUD U ZAGREBU (20454)</v>
      </c>
      <c r="E543" s="212" t="s">
        <v>4875</v>
      </c>
      <c r="F543" s="212" t="s">
        <v>276</v>
      </c>
      <c r="G543" s="213">
        <v>3206041</v>
      </c>
      <c r="H543" s="214" t="s">
        <v>4876</v>
      </c>
      <c r="J543" s="204"/>
    </row>
    <row r="544" spans="1:10" s="204" customFormat="1" ht="15" customHeight="1">
      <c r="A544" s="210">
        <f t="shared" si="16"/>
        <v>541</v>
      </c>
      <c r="B544" s="211">
        <v>46841</v>
      </c>
      <c r="C544" s="212" t="s">
        <v>4877</v>
      </c>
      <c r="D544" s="212" t="str">
        <f t="shared" si="17"/>
        <v>OPĆINSKI RADNI SUD U ZAGREBU (46841)</v>
      </c>
      <c r="E544" s="212" t="s">
        <v>4866</v>
      </c>
      <c r="F544" s="212" t="s">
        <v>276</v>
      </c>
      <c r="G544" s="213">
        <v>2808285</v>
      </c>
      <c r="H544" s="214" t="s">
        <v>4878</v>
      </c>
    </row>
    <row r="545" spans="1:10" ht="15" customHeight="1">
      <c r="A545" s="210">
        <f t="shared" si="16"/>
        <v>542</v>
      </c>
      <c r="B545" s="211">
        <v>3742</v>
      </c>
      <c r="C545" s="212" t="s">
        <v>4879</v>
      </c>
      <c r="D545" s="212" t="str">
        <f t="shared" si="17"/>
        <v>OPĆINSKI SUD U BJELOVARU (3742)</v>
      </c>
      <c r="E545" s="212" t="s">
        <v>4880</v>
      </c>
      <c r="F545" s="212" t="s">
        <v>3663</v>
      </c>
      <c r="G545" s="213">
        <v>3317072</v>
      </c>
      <c r="H545" s="214" t="s">
        <v>4881</v>
      </c>
      <c r="J545" s="204"/>
    </row>
    <row r="546" spans="1:10" ht="15" customHeight="1">
      <c r="A546" s="210">
        <f t="shared" si="16"/>
        <v>543</v>
      </c>
      <c r="B546" s="211">
        <v>50514</v>
      </c>
      <c r="C546" s="212" t="s">
        <v>4882</v>
      </c>
      <c r="D546" s="212" t="str">
        <f t="shared" si="17"/>
        <v>OPĆINSKI SUD U CRIKVENICI (50514)</v>
      </c>
      <c r="E546" s="212" t="s">
        <v>4883</v>
      </c>
      <c r="F546" s="212" t="s">
        <v>4087</v>
      </c>
      <c r="G546" s="215" t="s">
        <v>4884</v>
      </c>
      <c r="H546" s="214" t="s">
        <v>4885</v>
      </c>
      <c r="J546" s="204"/>
    </row>
    <row r="547" spans="1:10" ht="15" customHeight="1">
      <c r="A547" s="210">
        <f t="shared" si="16"/>
        <v>544</v>
      </c>
      <c r="B547" s="211">
        <v>3783</v>
      </c>
      <c r="C547" s="212" t="s">
        <v>4886</v>
      </c>
      <c r="D547" s="212" t="str">
        <f t="shared" si="17"/>
        <v>OPĆINSKI SUD U ČAKOVCU (3783)</v>
      </c>
      <c r="E547" s="212" t="s">
        <v>4887</v>
      </c>
      <c r="F547" s="212" t="s">
        <v>495</v>
      </c>
      <c r="G547" s="213">
        <v>3110761</v>
      </c>
      <c r="H547" s="214" t="s">
        <v>4888</v>
      </c>
      <c r="J547" s="204"/>
    </row>
    <row r="548" spans="1:10" ht="15" customHeight="1">
      <c r="A548" s="210">
        <f t="shared" si="16"/>
        <v>545</v>
      </c>
      <c r="B548" s="211">
        <v>3847</v>
      </c>
      <c r="C548" s="212" t="s">
        <v>4889</v>
      </c>
      <c r="D548" s="212" t="str">
        <f t="shared" si="17"/>
        <v>OPĆINSKI SUD U DUBROVNIKU (3847)</v>
      </c>
      <c r="E548" s="212" t="s">
        <v>4801</v>
      </c>
      <c r="F548" s="212" t="s">
        <v>314</v>
      </c>
      <c r="G548" s="213">
        <v>3304671</v>
      </c>
      <c r="H548" s="214" t="s">
        <v>4890</v>
      </c>
      <c r="J548" s="204"/>
    </row>
    <row r="549" spans="1:10" ht="15" customHeight="1">
      <c r="A549" s="210">
        <f t="shared" si="16"/>
        <v>546</v>
      </c>
      <c r="B549" s="211">
        <v>50522</v>
      </c>
      <c r="C549" s="212" t="s">
        <v>4891</v>
      </c>
      <c r="D549" s="212" t="str">
        <f t="shared" si="17"/>
        <v>OPĆINSKI SUD U ĐAKOVU (50522)</v>
      </c>
      <c r="E549" s="212" t="s">
        <v>4892</v>
      </c>
      <c r="F549" s="212" t="s">
        <v>300</v>
      </c>
      <c r="G549" s="215" t="s">
        <v>4893</v>
      </c>
      <c r="H549" s="214" t="s">
        <v>4894</v>
      </c>
      <c r="J549" s="204"/>
    </row>
    <row r="550" spans="1:10" ht="15" customHeight="1">
      <c r="A550" s="210">
        <f t="shared" si="16"/>
        <v>547</v>
      </c>
      <c r="B550" s="211">
        <v>3919</v>
      </c>
      <c r="C550" s="212" t="s">
        <v>4895</v>
      </c>
      <c r="D550" s="212" t="str">
        <f t="shared" si="17"/>
        <v>OPĆINSKI SUD U GOSPIĆU (3919)</v>
      </c>
      <c r="E550" s="212" t="s">
        <v>4896</v>
      </c>
      <c r="F550" s="212" t="s">
        <v>510</v>
      </c>
      <c r="G550" s="213">
        <v>3315886</v>
      </c>
      <c r="H550" s="214" t="s">
        <v>4897</v>
      </c>
      <c r="J550" s="204"/>
    </row>
    <row r="551" spans="1:10" ht="15" customHeight="1">
      <c r="A551" s="210">
        <f t="shared" si="16"/>
        <v>548</v>
      </c>
      <c r="B551" s="211">
        <v>20892</v>
      </c>
      <c r="C551" s="212" t="s">
        <v>4898</v>
      </c>
      <c r="D551" s="212" t="str">
        <f t="shared" si="17"/>
        <v>OPĆINSKI SUD U KARLOVCU (20892)</v>
      </c>
      <c r="E551" s="212" t="s">
        <v>4760</v>
      </c>
      <c r="F551" s="212" t="s">
        <v>514</v>
      </c>
      <c r="G551" s="213">
        <v>3123499</v>
      </c>
      <c r="H551" s="214" t="s">
        <v>4899</v>
      </c>
      <c r="J551" s="204"/>
    </row>
    <row r="552" spans="1:10" ht="15" customHeight="1">
      <c r="A552" s="210">
        <f t="shared" si="16"/>
        <v>549</v>
      </c>
      <c r="B552" s="211">
        <v>3994</v>
      </c>
      <c r="C552" s="212" t="s">
        <v>4900</v>
      </c>
      <c r="D552" s="212" t="str">
        <f t="shared" si="17"/>
        <v>OPĆINSKI SUD U KOPRIVNICI (3994)</v>
      </c>
      <c r="E552" s="212" t="s">
        <v>4901</v>
      </c>
      <c r="F552" s="212" t="s">
        <v>310</v>
      </c>
      <c r="G552" s="213">
        <v>3010805</v>
      </c>
      <c r="H552" s="214" t="s">
        <v>4902</v>
      </c>
      <c r="J552" s="204"/>
    </row>
    <row r="553" spans="1:10" ht="15" customHeight="1">
      <c r="A553" s="210">
        <f t="shared" si="16"/>
        <v>550</v>
      </c>
      <c r="B553" s="211">
        <v>50539</v>
      </c>
      <c r="C553" s="212" t="s">
        <v>4903</v>
      </c>
      <c r="D553" s="212" t="str">
        <f t="shared" si="17"/>
        <v>OPĆINSKI SUD U KUTINI (50539)</v>
      </c>
      <c r="E553" s="212" t="s">
        <v>4904</v>
      </c>
      <c r="F553" s="212" t="s">
        <v>4288</v>
      </c>
      <c r="G553" s="215" t="s">
        <v>4905</v>
      </c>
      <c r="H553" s="214" t="s">
        <v>4906</v>
      </c>
      <c r="J553" s="204"/>
    </row>
    <row r="554" spans="1:10" ht="15" customHeight="1">
      <c r="A554" s="210">
        <f t="shared" si="16"/>
        <v>551</v>
      </c>
      <c r="B554" s="211">
        <v>50547</v>
      </c>
      <c r="C554" s="212" t="s">
        <v>4907</v>
      </c>
      <c r="D554" s="212" t="str">
        <f t="shared" si="17"/>
        <v>OPĆINSKI SUD U MAKARSKOJ (50547)</v>
      </c>
      <c r="E554" s="212" t="s">
        <v>4908</v>
      </c>
      <c r="F554" s="212" t="s">
        <v>3946</v>
      </c>
      <c r="G554" s="215" t="s">
        <v>4909</v>
      </c>
      <c r="H554" s="214" t="s">
        <v>4910</v>
      </c>
      <c r="J554" s="204"/>
    </row>
    <row r="555" spans="1:10" ht="15" customHeight="1">
      <c r="A555" s="210">
        <f t="shared" si="16"/>
        <v>552</v>
      </c>
      <c r="B555" s="211">
        <v>50555</v>
      </c>
      <c r="C555" s="212" t="s">
        <v>4911</v>
      </c>
      <c r="D555" s="212" t="str">
        <f t="shared" si="17"/>
        <v>OPĆINSKI SUD U METKOVIĆU (50555)</v>
      </c>
      <c r="E555" s="212" t="s">
        <v>4912</v>
      </c>
      <c r="F555" s="212" t="s">
        <v>4303</v>
      </c>
      <c r="G555" s="215" t="s">
        <v>4913</v>
      </c>
      <c r="H555" s="214" t="s">
        <v>4914</v>
      </c>
      <c r="J555" s="204"/>
    </row>
    <row r="556" spans="1:10" ht="15" customHeight="1">
      <c r="A556" s="210">
        <f t="shared" si="16"/>
        <v>553</v>
      </c>
      <c r="B556" s="211">
        <v>48769</v>
      </c>
      <c r="C556" s="212" t="s">
        <v>4915</v>
      </c>
      <c r="D556" s="212" t="str">
        <f t="shared" si="17"/>
        <v>OPĆINSKI SUD U NOVOM ZAGREBU (48769)</v>
      </c>
      <c r="E556" s="212" t="s">
        <v>4916</v>
      </c>
      <c r="F556" s="212" t="s">
        <v>276</v>
      </c>
      <c r="G556" s="213">
        <v>4341872</v>
      </c>
      <c r="H556" s="214" t="s">
        <v>4917</v>
      </c>
      <c r="J556" s="204"/>
    </row>
    <row r="557" spans="1:10" ht="15" customHeight="1">
      <c r="A557" s="210">
        <f t="shared" si="16"/>
        <v>554</v>
      </c>
      <c r="B557" s="211">
        <v>4132</v>
      </c>
      <c r="C557" s="212" t="s">
        <v>4918</v>
      </c>
      <c r="D557" s="212" t="str">
        <f t="shared" si="17"/>
        <v>OPĆINSKI SUD U OSIJEKU (4132)</v>
      </c>
      <c r="E557" s="212" t="s">
        <v>4919</v>
      </c>
      <c r="F557" s="212" t="s">
        <v>279</v>
      </c>
      <c r="G557" s="213">
        <v>3014789</v>
      </c>
      <c r="H557" s="214" t="s">
        <v>4920</v>
      </c>
      <c r="J557" s="204"/>
    </row>
    <row r="558" spans="1:10" ht="15" customHeight="1">
      <c r="A558" s="210">
        <f t="shared" si="16"/>
        <v>555</v>
      </c>
      <c r="B558" s="211">
        <v>50563</v>
      </c>
      <c r="C558" s="212" t="s">
        <v>4921</v>
      </c>
      <c r="D558" s="212" t="str">
        <f t="shared" si="17"/>
        <v>OPĆINSKI SUD U PAZINU (50563)</v>
      </c>
      <c r="E558" s="212" t="s">
        <v>4922</v>
      </c>
      <c r="F558" s="212" t="s">
        <v>3679</v>
      </c>
      <c r="G558" s="215" t="s">
        <v>4923</v>
      </c>
      <c r="H558" s="214" t="s">
        <v>4924</v>
      </c>
      <c r="J558" s="204"/>
    </row>
    <row r="559" spans="1:10" ht="15" customHeight="1">
      <c r="A559" s="210">
        <f t="shared" si="16"/>
        <v>556</v>
      </c>
      <c r="B559" s="211">
        <v>4212</v>
      </c>
      <c r="C559" s="212" t="s">
        <v>4925</v>
      </c>
      <c r="D559" s="212" t="str">
        <f t="shared" si="17"/>
        <v>OPĆINSKI SUD U POŽEGI (4212)</v>
      </c>
      <c r="E559" s="212" t="s">
        <v>4926</v>
      </c>
      <c r="F559" s="212" t="s">
        <v>518</v>
      </c>
      <c r="G559" s="213">
        <v>3310302</v>
      </c>
      <c r="H559" s="214" t="s">
        <v>4927</v>
      </c>
      <c r="J559" s="204"/>
    </row>
    <row r="560" spans="1:10" ht="15" customHeight="1">
      <c r="A560" s="210">
        <f t="shared" si="16"/>
        <v>557</v>
      </c>
      <c r="B560" s="211">
        <v>4237</v>
      </c>
      <c r="C560" s="212" t="s">
        <v>4928</v>
      </c>
      <c r="D560" s="212" t="str">
        <f t="shared" si="17"/>
        <v>OPĆINSKI SUD U PULI - POLA (4237)</v>
      </c>
      <c r="E560" s="212" t="s">
        <v>4929</v>
      </c>
      <c r="F560" s="212" t="s">
        <v>307</v>
      </c>
      <c r="G560" s="213">
        <v>3204120</v>
      </c>
      <c r="H560" s="214" t="s">
        <v>4930</v>
      </c>
      <c r="J560" s="204"/>
    </row>
    <row r="561" spans="1:10" ht="15" customHeight="1">
      <c r="A561" s="210">
        <f t="shared" si="16"/>
        <v>558</v>
      </c>
      <c r="B561" s="211">
        <v>4253</v>
      </c>
      <c r="C561" s="212" t="s">
        <v>4931</v>
      </c>
      <c r="D561" s="212" t="str">
        <f t="shared" si="17"/>
        <v>OPĆINSKI SUD U RIJECI (4253)</v>
      </c>
      <c r="E561" s="212" t="s">
        <v>4770</v>
      </c>
      <c r="F561" s="212" t="s">
        <v>321</v>
      </c>
      <c r="G561" s="213">
        <v>3321428</v>
      </c>
      <c r="H561" s="214" t="s">
        <v>4932</v>
      </c>
      <c r="J561" s="204"/>
    </row>
    <row r="562" spans="1:10" ht="15" customHeight="1">
      <c r="A562" s="210">
        <f t="shared" si="16"/>
        <v>559</v>
      </c>
      <c r="B562" s="211">
        <v>50571</v>
      </c>
      <c r="C562" s="212" t="s">
        <v>4933</v>
      </c>
      <c r="D562" s="212" t="str">
        <f t="shared" si="17"/>
        <v>OPĆINSKI SUD U SESVETAMA (50571)</v>
      </c>
      <c r="E562" s="212" t="s">
        <v>4934</v>
      </c>
      <c r="F562" s="212" t="s">
        <v>4935</v>
      </c>
      <c r="G562" s="215" t="s">
        <v>4936</v>
      </c>
      <c r="H562" s="214" t="s">
        <v>4937</v>
      </c>
      <c r="J562" s="204"/>
    </row>
    <row r="563" spans="1:10" ht="15" customHeight="1">
      <c r="A563" s="210">
        <f t="shared" si="16"/>
        <v>560</v>
      </c>
      <c r="B563" s="211">
        <v>4307</v>
      </c>
      <c r="C563" s="212" t="s">
        <v>4938</v>
      </c>
      <c r="D563" s="212" t="str">
        <f t="shared" si="17"/>
        <v>OPĆINSKI SUD U SISKU (4307)</v>
      </c>
      <c r="E563" s="212" t="s">
        <v>4773</v>
      </c>
      <c r="F563" s="212" t="s">
        <v>1727</v>
      </c>
      <c r="G563" s="213">
        <v>3314723</v>
      </c>
      <c r="H563" s="214" t="s">
        <v>4939</v>
      </c>
      <c r="J563" s="204"/>
    </row>
    <row r="564" spans="1:10" ht="15" customHeight="1">
      <c r="A564" s="210">
        <f t="shared" si="16"/>
        <v>561</v>
      </c>
      <c r="B564" s="211">
        <v>4323</v>
      </c>
      <c r="C564" s="212" t="s">
        <v>4940</v>
      </c>
      <c r="D564" s="212" t="str">
        <f t="shared" si="17"/>
        <v>OPĆINSKI SUD U SLAVONSKOM BRODU (4323)</v>
      </c>
      <c r="E564" s="212" t="s">
        <v>4941</v>
      </c>
      <c r="F564" s="212" t="s">
        <v>1772</v>
      </c>
      <c r="G564" s="213">
        <v>3071456</v>
      </c>
      <c r="H564" s="214" t="s">
        <v>4942</v>
      </c>
      <c r="J564" s="204"/>
    </row>
    <row r="565" spans="1:10" ht="15" customHeight="1">
      <c r="A565" s="210">
        <f t="shared" si="16"/>
        <v>562</v>
      </c>
      <c r="B565" s="211">
        <v>21004</v>
      </c>
      <c r="C565" s="212" t="s">
        <v>4943</v>
      </c>
      <c r="D565" s="212" t="str">
        <f t="shared" si="17"/>
        <v>OPĆINSKI SUD U SPLITU (21004)</v>
      </c>
      <c r="E565" s="212" t="s">
        <v>4944</v>
      </c>
      <c r="F565" s="212" t="s">
        <v>361</v>
      </c>
      <c r="G565" s="213">
        <v>3118665</v>
      </c>
      <c r="H565" s="214" t="s">
        <v>4945</v>
      </c>
      <c r="J565" s="204"/>
    </row>
    <row r="566" spans="1:10" ht="15" customHeight="1">
      <c r="A566" s="210">
        <f t="shared" si="16"/>
        <v>563</v>
      </c>
      <c r="B566" s="211">
        <v>4340</v>
      </c>
      <c r="C566" s="212" t="s">
        <v>4946</v>
      </c>
      <c r="D566" s="212" t="str">
        <f t="shared" si="17"/>
        <v>OPĆINSKI SUD U ŠIBENIKU (4340)</v>
      </c>
      <c r="E566" s="212" t="s">
        <v>4782</v>
      </c>
      <c r="F566" s="212" t="s">
        <v>525</v>
      </c>
      <c r="G566" s="213">
        <v>3019772</v>
      </c>
      <c r="H566" s="214" t="s">
        <v>4947</v>
      </c>
      <c r="J566" s="204"/>
    </row>
    <row r="567" spans="1:10" ht="15" customHeight="1">
      <c r="A567" s="210">
        <f t="shared" si="16"/>
        <v>564</v>
      </c>
      <c r="B567" s="211">
        <v>4366</v>
      </c>
      <c r="C567" s="212" t="s">
        <v>4948</v>
      </c>
      <c r="D567" s="212" t="str">
        <f t="shared" si="17"/>
        <v>OPĆINSKI SUD U VARAŽDINU (4366)</v>
      </c>
      <c r="E567" s="212" t="s">
        <v>4398</v>
      </c>
      <c r="F567" s="212" t="s">
        <v>446</v>
      </c>
      <c r="G567" s="213">
        <v>3006697</v>
      </c>
      <c r="H567" s="214" t="s">
        <v>4949</v>
      </c>
      <c r="J567" s="204"/>
    </row>
    <row r="568" spans="1:10" ht="15" customHeight="1">
      <c r="A568" s="210">
        <f t="shared" si="16"/>
        <v>565</v>
      </c>
      <c r="B568" s="211">
        <v>4374</v>
      </c>
      <c r="C568" s="212" t="s">
        <v>4950</v>
      </c>
      <c r="D568" s="212" t="str">
        <f t="shared" si="17"/>
        <v>OPĆINSKI SUD U VELIKOJ GORICI (4374)</v>
      </c>
      <c r="E568" s="212" t="s">
        <v>4951</v>
      </c>
      <c r="F568" s="212" t="s">
        <v>3593</v>
      </c>
      <c r="G568" s="213">
        <v>3216365</v>
      </c>
      <c r="H568" s="214" t="s">
        <v>4952</v>
      </c>
      <c r="J568" s="204"/>
    </row>
    <row r="569" spans="1:10" ht="15" customHeight="1">
      <c r="A569" s="210">
        <f t="shared" si="16"/>
        <v>566</v>
      </c>
      <c r="B569" s="211">
        <v>50580</v>
      </c>
      <c r="C569" s="212" t="s">
        <v>4953</v>
      </c>
      <c r="D569" s="212" t="str">
        <f>C569&amp;" ("&amp;B569&amp;")"</f>
        <v>OPĆINSKI SUD U VINKOVCIMA (50580)</v>
      </c>
      <c r="E569" s="212" t="s">
        <v>4954</v>
      </c>
      <c r="F569" s="212" t="s">
        <v>4458</v>
      </c>
      <c r="G569" s="215" t="s">
        <v>4955</v>
      </c>
      <c r="H569" s="214" t="s">
        <v>4956</v>
      </c>
      <c r="J569" s="204"/>
    </row>
    <row r="570" spans="1:10" ht="15" customHeight="1">
      <c r="A570" s="210">
        <f t="shared" si="16"/>
        <v>567</v>
      </c>
      <c r="B570" s="211">
        <v>4399</v>
      </c>
      <c r="C570" s="212" t="s">
        <v>4957</v>
      </c>
      <c r="D570" s="212" t="str">
        <f t="shared" ref="D570:D614" si="18">C570&amp;" ("&amp;B570&amp;")"</f>
        <v>OPĆINSKI SUD U VIROVITICI (4399)</v>
      </c>
      <c r="E570" s="212" t="s">
        <v>4958</v>
      </c>
      <c r="F570" s="212" t="s">
        <v>528</v>
      </c>
      <c r="G570" s="213">
        <v>3106071</v>
      </c>
      <c r="H570" s="214" t="s">
        <v>4959</v>
      </c>
      <c r="J570" s="204"/>
    </row>
    <row r="571" spans="1:10" ht="15" customHeight="1">
      <c r="A571" s="210">
        <f t="shared" si="16"/>
        <v>568</v>
      </c>
      <c r="B571" s="211">
        <v>4420</v>
      </c>
      <c r="C571" s="212" t="s">
        <v>4960</v>
      </c>
      <c r="D571" s="212" t="str">
        <f t="shared" si="18"/>
        <v>OPĆINSKI SUD U VUKOVARU (4420)</v>
      </c>
      <c r="E571" s="212" t="s">
        <v>4961</v>
      </c>
      <c r="F571" s="212" t="s">
        <v>502</v>
      </c>
      <c r="G571" s="213">
        <v>3008886</v>
      </c>
      <c r="H571" s="214" t="s">
        <v>4962</v>
      </c>
      <c r="J571" s="204"/>
    </row>
    <row r="572" spans="1:10" ht="15" customHeight="1">
      <c r="A572" s="210">
        <f t="shared" ref="A572:A614" si="19">+A571+1</f>
        <v>569</v>
      </c>
      <c r="B572" s="211">
        <v>4446</v>
      </c>
      <c r="C572" s="212" t="s">
        <v>4963</v>
      </c>
      <c r="D572" s="212" t="str">
        <f t="shared" si="18"/>
        <v>OPĆINSKI SUD U ZADRU (4446)</v>
      </c>
      <c r="E572" s="212" t="s">
        <v>4793</v>
      </c>
      <c r="F572" s="212" t="s">
        <v>317</v>
      </c>
      <c r="G572" s="213">
        <v>3142442</v>
      </c>
      <c r="H572" s="214" t="s">
        <v>4964</v>
      </c>
      <c r="J572" s="204"/>
    </row>
    <row r="573" spans="1:10" ht="15" customHeight="1">
      <c r="A573" s="210">
        <f t="shared" si="19"/>
        <v>570</v>
      </c>
      <c r="B573" s="211">
        <v>4462</v>
      </c>
      <c r="C573" s="212" t="s">
        <v>4965</v>
      </c>
      <c r="D573" s="212" t="str">
        <f t="shared" si="18"/>
        <v>OPĆINSKI SUD U ZLATARU (4462)</v>
      </c>
      <c r="E573" s="212" t="s">
        <v>4966</v>
      </c>
      <c r="F573" s="212" t="s">
        <v>4967</v>
      </c>
      <c r="G573" s="213">
        <v>3100952</v>
      </c>
      <c r="H573" s="214" t="s">
        <v>4968</v>
      </c>
      <c r="J573" s="204"/>
    </row>
    <row r="574" spans="1:10" ht="15" customHeight="1">
      <c r="A574" s="210">
        <f t="shared" si="19"/>
        <v>571</v>
      </c>
      <c r="B574" s="211">
        <v>4500</v>
      </c>
      <c r="C574" s="212" t="s">
        <v>4969</v>
      </c>
      <c r="D574" s="212" t="str">
        <f t="shared" si="18"/>
        <v>OPĆINSKO DRŽAVNO ODVJETNIŠTVO U BJELOVARU (4500)</v>
      </c>
      <c r="E574" s="212" t="s">
        <v>4754</v>
      </c>
      <c r="F574" s="212" t="s">
        <v>3663</v>
      </c>
      <c r="G574" s="213">
        <v>3308693</v>
      </c>
      <c r="H574" s="214" t="s">
        <v>4970</v>
      </c>
      <c r="J574" s="204"/>
    </row>
    <row r="575" spans="1:10" ht="15" customHeight="1">
      <c r="A575" s="210">
        <f t="shared" si="19"/>
        <v>572</v>
      </c>
      <c r="B575" s="211">
        <v>4526</v>
      </c>
      <c r="C575" s="212" t="s">
        <v>4971</v>
      </c>
      <c r="D575" s="212" t="str">
        <f t="shared" si="18"/>
        <v>OPĆINSKO DRŽAVNO ODVJETNIŠTVO U ČAKOVCU (4526)</v>
      </c>
      <c r="E575" s="212" t="s">
        <v>4887</v>
      </c>
      <c r="F575" s="212" t="s">
        <v>495</v>
      </c>
      <c r="G575" s="213">
        <v>3110770</v>
      </c>
      <c r="H575" s="214" t="s">
        <v>4972</v>
      </c>
      <c r="J575" s="204"/>
    </row>
    <row r="576" spans="1:10" ht="15" customHeight="1">
      <c r="A576" s="210">
        <f t="shared" si="19"/>
        <v>573</v>
      </c>
      <c r="B576" s="211">
        <v>4567</v>
      </c>
      <c r="C576" s="212" t="s">
        <v>4973</v>
      </c>
      <c r="D576" s="212" t="str">
        <f t="shared" si="18"/>
        <v>OPĆINSKO DRŽAVNO ODVJETNIŠTVO U DUBROVNIKU (4567)</v>
      </c>
      <c r="E576" s="212" t="s">
        <v>4801</v>
      </c>
      <c r="F576" s="212" t="s">
        <v>314</v>
      </c>
      <c r="G576" s="213">
        <v>3364968</v>
      </c>
      <c r="H576" s="214" t="s">
        <v>4974</v>
      </c>
      <c r="J576" s="204"/>
    </row>
    <row r="577" spans="1:10" ht="15" customHeight="1">
      <c r="A577" s="210">
        <f t="shared" si="19"/>
        <v>574</v>
      </c>
      <c r="B577" s="211">
        <v>4606</v>
      </c>
      <c r="C577" s="212" t="s">
        <v>4975</v>
      </c>
      <c r="D577" s="212" t="str">
        <f t="shared" si="18"/>
        <v>OPĆINSKO DRŽAVNO ODVJETNIŠTVO U GOSPIĆU (4606)</v>
      </c>
      <c r="E577" s="212" t="s">
        <v>4896</v>
      </c>
      <c r="F577" s="212" t="s">
        <v>510</v>
      </c>
      <c r="G577" s="213">
        <v>3315908</v>
      </c>
      <c r="H577" s="214" t="s">
        <v>4976</v>
      </c>
      <c r="J577" s="204"/>
    </row>
    <row r="578" spans="1:10" ht="15" customHeight="1">
      <c r="A578" s="210">
        <f t="shared" si="19"/>
        <v>575</v>
      </c>
      <c r="B578" s="211">
        <v>20270</v>
      </c>
      <c r="C578" s="212" t="s">
        <v>4977</v>
      </c>
      <c r="D578" s="212" t="str">
        <f t="shared" si="18"/>
        <v>OPĆINSKO DRŽAVNO ODVJETNIŠTVO U KARLOVCU (20270)</v>
      </c>
      <c r="E578" s="212" t="s">
        <v>4760</v>
      </c>
      <c r="F578" s="212" t="s">
        <v>514</v>
      </c>
      <c r="G578" s="213">
        <v>3123537</v>
      </c>
      <c r="H578" s="214" t="s">
        <v>4978</v>
      </c>
      <c r="J578" s="204"/>
    </row>
    <row r="579" spans="1:10" ht="15" customHeight="1">
      <c r="A579" s="210">
        <f t="shared" si="19"/>
        <v>576</v>
      </c>
      <c r="B579" s="211">
        <v>4655</v>
      </c>
      <c r="C579" s="212" t="s">
        <v>4979</v>
      </c>
      <c r="D579" s="212" t="str">
        <f t="shared" si="18"/>
        <v>OPĆINSKO DRŽAVNO ODVJETNIŠTVO U KOPRIVNICI (4655)</v>
      </c>
      <c r="E579" s="212" t="s">
        <v>4980</v>
      </c>
      <c r="F579" s="212" t="s">
        <v>310</v>
      </c>
      <c r="G579" s="213">
        <v>3010813</v>
      </c>
      <c r="H579" s="214" t="s">
        <v>4981</v>
      </c>
      <c r="J579" s="204"/>
    </row>
    <row r="580" spans="1:10" ht="15" customHeight="1">
      <c r="A580" s="210">
        <f t="shared" si="19"/>
        <v>577</v>
      </c>
      <c r="B580" s="211">
        <v>50483</v>
      </c>
      <c r="C580" s="212" t="s">
        <v>4982</v>
      </c>
      <c r="D580" s="212" t="str">
        <f t="shared" si="18"/>
        <v>OPĆINSKO DRŽAVNO ODVJETNIŠTVO U METKOVIĆU (50483)</v>
      </c>
      <c r="E580" s="212" t="s">
        <v>4912</v>
      </c>
      <c r="F580" s="212" t="s">
        <v>4303</v>
      </c>
      <c r="G580" s="215" t="s">
        <v>4983</v>
      </c>
      <c r="H580" s="214" t="s">
        <v>4984</v>
      </c>
      <c r="J580" s="204"/>
    </row>
    <row r="581" spans="1:10" ht="15" customHeight="1">
      <c r="A581" s="210">
        <f t="shared" si="19"/>
        <v>578</v>
      </c>
      <c r="B581" s="211">
        <v>48785</v>
      </c>
      <c r="C581" s="212" t="s">
        <v>4985</v>
      </c>
      <c r="D581" s="212" t="str">
        <f t="shared" si="18"/>
        <v>OPĆINSKO DRŽAVNO ODVJETNIŠTVO U NOVOM ZAGREBU (48785)</v>
      </c>
      <c r="E581" s="212" t="s">
        <v>4916</v>
      </c>
      <c r="F581" s="212" t="s">
        <v>276</v>
      </c>
      <c r="G581" s="213">
        <v>4355784</v>
      </c>
      <c r="H581" s="214" t="s">
        <v>4986</v>
      </c>
      <c r="J581" s="204"/>
    </row>
    <row r="582" spans="1:10" ht="15" customHeight="1">
      <c r="A582" s="210">
        <f t="shared" si="19"/>
        <v>579</v>
      </c>
      <c r="B582" s="211">
        <v>4760</v>
      </c>
      <c r="C582" s="212" t="s">
        <v>4987</v>
      </c>
      <c r="D582" s="212" t="str">
        <f t="shared" si="18"/>
        <v>OPĆINSKO DRŽAVNO ODVJETNIŠTVO U OSIJEKU (4760)</v>
      </c>
      <c r="E582" s="212" t="s">
        <v>4988</v>
      </c>
      <c r="F582" s="212" t="s">
        <v>279</v>
      </c>
      <c r="G582" s="213">
        <v>3014827</v>
      </c>
      <c r="H582" s="214" t="s">
        <v>4989</v>
      </c>
      <c r="J582" s="204"/>
    </row>
    <row r="583" spans="1:10" ht="15" customHeight="1">
      <c r="A583" s="210">
        <f t="shared" si="19"/>
        <v>580</v>
      </c>
      <c r="B583" s="211">
        <v>50491</v>
      </c>
      <c r="C583" s="212" t="s">
        <v>4990</v>
      </c>
      <c r="D583" s="212" t="str">
        <f t="shared" si="18"/>
        <v>OPĆINSKO DRŽAVNO ODVJETNIŠTVO U PAZINU (50491)</v>
      </c>
      <c r="E583" s="212" t="s">
        <v>4991</v>
      </c>
      <c r="F583" s="212" t="s">
        <v>3679</v>
      </c>
      <c r="G583" s="215" t="s">
        <v>4992</v>
      </c>
      <c r="H583" s="233" t="s">
        <v>4993</v>
      </c>
      <c r="J583" s="204"/>
    </row>
    <row r="584" spans="1:10" ht="15" customHeight="1">
      <c r="A584" s="210">
        <f t="shared" si="19"/>
        <v>581</v>
      </c>
      <c r="B584" s="211">
        <v>4809</v>
      </c>
      <c r="C584" s="212" t="s">
        <v>4994</v>
      </c>
      <c r="D584" s="212" t="str">
        <f t="shared" si="18"/>
        <v>OPĆINSKO DRŽAVNO ODVJETNIŠTVO U POŽEGI (4809)</v>
      </c>
      <c r="E584" s="212" t="s">
        <v>4926</v>
      </c>
      <c r="F584" s="212" t="s">
        <v>518</v>
      </c>
      <c r="G584" s="213">
        <v>3310744</v>
      </c>
      <c r="H584" s="214" t="s">
        <v>4995</v>
      </c>
      <c r="J584" s="204"/>
    </row>
    <row r="585" spans="1:10" ht="15" customHeight="1">
      <c r="A585" s="210">
        <f t="shared" si="19"/>
        <v>582</v>
      </c>
      <c r="B585" s="211">
        <v>4817</v>
      </c>
      <c r="C585" s="212" t="s">
        <v>4996</v>
      </c>
      <c r="D585" s="212" t="str">
        <f t="shared" si="18"/>
        <v>OPĆINSKO DRŽAVNO ODVJETNIŠTVO U PULI - POLA (4817)</v>
      </c>
      <c r="E585" s="212" t="s">
        <v>4836</v>
      </c>
      <c r="F585" s="212" t="s">
        <v>307</v>
      </c>
      <c r="G585" s="213">
        <v>3204146</v>
      </c>
      <c r="H585" s="214" t="s">
        <v>4997</v>
      </c>
      <c r="J585" s="204"/>
    </row>
    <row r="586" spans="1:10" ht="15" customHeight="1">
      <c r="A586" s="210">
        <f t="shared" si="19"/>
        <v>583</v>
      </c>
      <c r="B586" s="211">
        <v>4825</v>
      </c>
      <c r="C586" s="212" t="s">
        <v>4998</v>
      </c>
      <c r="D586" s="212" t="str">
        <f t="shared" si="18"/>
        <v>OPĆINSKO DRŽAVNO ODVJETNIŠTVO U RIJECI (4825)</v>
      </c>
      <c r="E586" s="212" t="s">
        <v>4999</v>
      </c>
      <c r="F586" s="212" t="s">
        <v>321</v>
      </c>
      <c r="G586" s="213">
        <v>3321436</v>
      </c>
      <c r="H586" s="214" t="s">
        <v>5000</v>
      </c>
      <c r="J586" s="204"/>
    </row>
    <row r="587" spans="1:10" ht="15" customHeight="1">
      <c r="A587" s="210">
        <f t="shared" si="19"/>
        <v>584</v>
      </c>
      <c r="B587" s="211">
        <v>4868</v>
      </c>
      <c r="C587" s="212" t="s">
        <v>5001</v>
      </c>
      <c r="D587" s="212" t="str">
        <f t="shared" si="18"/>
        <v>OPĆINSKO DRŽAVNO ODVJETNIŠTVO U SISKU (4868)</v>
      </c>
      <c r="E587" s="212" t="s">
        <v>4842</v>
      </c>
      <c r="F587" s="212" t="s">
        <v>1727</v>
      </c>
      <c r="G587" s="213">
        <v>3314740</v>
      </c>
      <c r="H587" s="214" t="s">
        <v>5002</v>
      </c>
      <c r="J587" s="204"/>
    </row>
    <row r="588" spans="1:10" ht="15" customHeight="1">
      <c r="A588" s="210">
        <f t="shared" si="19"/>
        <v>585</v>
      </c>
      <c r="B588" s="211">
        <v>4876</v>
      </c>
      <c r="C588" s="212" t="s">
        <v>5003</v>
      </c>
      <c r="D588" s="212" t="str">
        <f t="shared" si="18"/>
        <v>OPĆINSKO DRŽAVNO ODVJETNIŠTVO U SLAVONSKOM BRODU (4876)</v>
      </c>
      <c r="E588" s="212" t="s">
        <v>5004</v>
      </c>
      <c r="F588" s="212" t="s">
        <v>1772</v>
      </c>
      <c r="G588" s="213">
        <v>3071472</v>
      </c>
      <c r="H588" s="214" t="s">
        <v>5005</v>
      </c>
      <c r="J588" s="204"/>
    </row>
    <row r="589" spans="1:10" ht="15" customHeight="1">
      <c r="A589" s="210">
        <f t="shared" si="19"/>
        <v>586</v>
      </c>
      <c r="B589" s="211">
        <v>4884</v>
      </c>
      <c r="C589" s="212" t="s">
        <v>5006</v>
      </c>
      <c r="D589" s="212" t="str">
        <f t="shared" si="18"/>
        <v>OPĆINSKO DRŽAVNO ODVJETNIŠTVO U SPLITU (4884)</v>
      </c>
      <c r="E589" s="212" t="s">
        <v>5007</v>
      </c>
      <c r="F589" s="212" t="s">
        <v>361</v>
      </c>
      <c r="G589" s="213">
        <v>3161242</v>
      </c>
      <c r="H589" s="214" t="s">
        <v>5008</v>
      </c>
      <c r="J589" s="204"/>
    </row>
    <row r="590" spans="1:10" ht="15" customHeight="1">
      <c r="A590" s="210">
        <f t="shared" si="19"/>
        <v>587</v>
      </c>
      <c r="B590" s="211">
        <v>4892</v>
      </c>
      <c r="C590" s="212" t="s">
        <v>5009</v>
      </c>
      <c r="D590" s="212" t="str">
        <f t="shared" si="18"/>
        <v>OPĆINSKO DRŽAVNO ODVJETNIŠTVO U ŠIBENIKU (4892)</v>
      </c>
      <c r="E590" s="212" t="s">
        <v>5010</v>
      </c>
      <c r="F590" s="212" t="s">
        <v>525</v>
      </c>
      <c r="G590" s="213">
        <v>3019829</v>
      </c>
      <c r="H590" s="214" t="s">
        <v>5011</v>
      </c>
      <c r="J590" s="204"/>
    </row>
    <row r="591" spans="1:10" ht="15" customHeight="1">
      <c r="A591" s="210">
        <f t="shared" si="19"/>
        <v>588</v>
      </c>
      <c r="B591" s="211">
        <v>4913</v>
      </c>
      <c r="C591" s="212" t="s">
        <v>5012</v>
      </c>
      <c r="D591" s="212" t="str">
        <f t="shared" si="18"/>
        <v>OPĆINSKO DRŽAVNO ODVJETNIŠTVO U VARAŽDINU (4913)</v>
      </c>
      <c r="E591" s="212" t="s">
        <v>5013</v>
      </c>
      <c r="F591" s="212" t="s">
        <v>4817</v>
      </c>
      <c r="G591" s="213">
        <v>3006735</v>
      </c>
      <c r="H591" s="214" t="s">
        <v>5014</v>
      </c>
      <c r="J591" s="204"/>
    </row>
    <row r="592" spans="1:10" ht="15" customHeight="1">
      <c r="A592" s="210">
        <f t="shared" si="19"/>
        <v>589</v>
      </c>
      <c r="B592" s="211">
        <v>4921</v>
      </c>
      <c r="C592" s="212" t="s">
        <v>5015</v>
      </c>
      <c r="D592" s="212" t="str">
        <f t="shared" si="18"/>
        <v>OPĆINSKO DRŽAVNO ODVJETNIŠTVO U VELIKOJ GORICI (4921)</v>
      </c>
      <c r="E592" s="212" t="s">
        <v>4951</v>
      </c>
      <c r="F592" s="212" t="s">
        <v>3593</v>
      </c>
      <c r="G592" s="213">
        <v>3216373</v>
      </c>
      <c r="H592" s="214" t="s">
        <v>5016</v>
      </c>
      <c r="J592" s="204"/>
    </row>
    <row r="593" spans="1:10" ht="15" customHeight="1">
      <c r="A593" s="210">
        <f t="shared" si="19"/>
        <v>590</v>
      </c>
      <c r="B593" s="211">
        <v>50506</v>
      </c>
      <c r="C593" s="212" t="s">
        <v>5017</v>
      </c>
      <c r="D593" s="212" t="str">
        <f t="shared" si="18"/>
        <v>OPĆINSKO DRŽAVNO ODVJETNIŠTVO U VINKOVCIMA (50506)</v>
      </c>
      <c r="E593" s="212" t="s">
        <v>4892</v>
      </c>
      <c r="F593" s="212" t="s">
        <v>4458</v>
      </c>
      <c r="G593" s="215" t="s">
        <v>5018</v>
      </c>
      <c r="H593" s="214" t="s">
        <v>5019</v>
      </c>
      <c r="J593" s="204"/>
    </row>
    <row r="594" spans="1:10" ht="15" customHeight="1">
      <c r="A594" s="210">
        <f t="shared" si="19"/>
        <v>591</v>
      </c>
      <c r="B594" s="211">
        <v>4948</v>
      </c>
      <c r="C594" s="212" t="s">
        <v>5020</v>
      </c>
      <c r="D594" s="212" t="str">
        <f t="shared" si="18"/>
        <v>OPĆINSKO DRŽAVNO ODVJETNIŠTVO U VIROVITICI (4948)</v>
      </c>
      <c r="E594" s="212" t="s">
        <v>5021</v>
      </c>
      <c r="F594" s="212" t="s">
        <v>528</v>
      </c>
      <c r="G594" s="213">
        <v>3149625</v>
      </c>
      <c r="H594" s="214" t="s">
        <v>5022</v>
      </c>
      <c r="J594" s="204"/>
    </row>
    <row r="595" spans="1:10" ht="15" customHeight="1">
      <c r="A595" s="210">
        <f t="shared" si="19"/>
        <v>592</v>
      </c>
      <c r="B595" s="211">
        <v>4956</v>
      </c>
      <c r="C595" s="212" t="s">
        <v>5023</v>
      </c>
      <c r="D595" s="212" t="str">
        <f t="shared" si="18"/>
        <v>OPĆINSKO DRŽAVNO ODVJETNIŠTVO U VUKOVARU (4956)</v>
      </c>
      <c r="E595" s="212" t="s">
        <v>4858</v>
      </c>
      <c r="F595" s="212" t="s">
        <v>502</v>
      </c>
      <c r="G595" s="213">
        <v>3008894</v>
      </c>
      <c r="H595" s="214" t="s">
        <v>5024</v>
      </c>
      <c r="J595" s="204"/>
    </row>
    <row r="596" spans="1:10" ht="15" customHeight="1">
      <c r="A596" s="210">
        <f t="shared" si="19"/>
        <v>593</v>
      </c>
      <c r="B596" s="211">
        <v>4972</v>
      </c>
      <c r="C596" s="212" t="s">
        <v>5025</v>
      </c>
      <c r="D596" s="212" t="str">
        <f t="shared" si="18"/>
        <v>OPĆINSKO DRŽAVNO ODVJETNIŠTVO U ZADRU (4972)</v>
      </c>
      <c r="E596" s="212" t="s">
        <v>5026</v>
      </c>
      <c r="F596" s="212" t="s">
        <v>317</v>
      </c>
      <c r="G596" s="213">
        <v>3174786</v>
      </c>
      <c r="H596" s="214" t="s">
        <v>5027</v>
      </c>
      <c r="J596" s="204"/>
    </row>
    <row r="597" spans="1:10" ht="15" customHeight="1">
      <c r="A597" s="210">
        <f t="shared" si="19"/>
        <v>594</v>
      </c>
      <c r="B597" s="211">
        <v>4989</v>
      </c>
      <c r="C597" s="212" t="s">
        <v>5028</v>
      </c>
      <c r="D597" s="212" t="str">
        <f t="shared" si="18"/>
        <v>OPĆINSKO KAZNENO DRŽAVNO ODVJETNIŠTVO U ZAGREBU (4989)</v>
      </c>
      <c r="E597" s="212" t="s">
        <v>5029</v>
      </c>
      <c r="F597" s="212" t="s">
        <v>276</v>
      </c>
      <c r="G597" s="213">
        <v>3277135</v>
      </c>
      <c r="H597" s="214" t="s">
        <v>5030</v>
      </c>
      <c r="J597" s="204"/>
    </row>
    <row r="598" spans="1:10" ht="15" customHeight="1">
      <c r="A598" s="210">
        <f t="shared" si="19"/>
        <v>595</v>
      </c>
      <c r="B598" s="211">
        <v>4997</v>
      </c>
      <c r="C598" s="212" t="s">
        <v>5031</v>
      </c>
      <c r="D598" s="212" t="str">
        <f t="shared" si="18"/>
        <v>OPĆINSKO DRŽAVNO ODVJETNIŠTVO U ZLATARU (4997)</v>
      </c>
      <c r="E598" s="212" t="s">
        <v>4966</v>
      </c>
      <c r="F598" s="212" t="s">
        <v>4967</v>
      </c>
      <c r="G598" s="213">
        <v>3433811</v>
      </c>
      <c r="H598" s="214" t="s">
        <v>5032</v>
      </c>
      <c r="J598" s="204"/>
    </row>
    <row r="599" spans="1:10" ht="15" customHeight="1">
      <c r="A599" s="210">
        <f t="shared" si="19"/>
        <v>596</v>
      </c>
      <c r="B599" s="211">
        <v>52356</v>
      </c>
      <c r="C599" s="212" t="s">
        <v>5033</v>
      </c>
      <c r="D599" s="212" t="str">
        <f t="shared" si="18"/>
        <v>OPĆINSKO GRAĐANSKO DRŽAVNO ODVJETNIŠTVO U ZAGREBU (52356)</v>
      </c>
      <c r="E599" s="212" t="s">
        <v>5034</v>
      </c>
      <c r="F599" s="212" t="s">
        <v>276</v>
      </c>
      <c r="G599" s="213">
        <v>5545471</v>
      </c>
      <c r="H599" s="214" t="s">
        <v>5035</v>
      </c>
      <c r="J599" s="204"/>
    </row>
    <row r="600" spans="1:10" ht="15" customHeight="1">
      <c r="A600" s="210">
        <f t="shared" si="19"/>
        <v>597</v>
      </c>
      <c r="B600" s="211">
        <v>23649</v>
      </c>
      <c r="C600" s="212" t="s">
        <v>5036</v>
      </c>
      <c r="D600" s="212" t="str">
        <f t="shared" si="18"/>
        <v>DRŽAVNO ODVJETNIŠTVO URED ZA SUZBIJANJE KORUPCIJE I ORGANIZIRANOG KRIMINALITETA  (23649)</v>
      </c>
      <c r="E600" s="212" t="s">
        <v>5037</v>
      </c>
      <c r="F600" s="212" t="s">
        <v>276</v>
      </c>
      <c r="G600" s="213">
        <v>1597965</v>
      </c>
      <c r="H600" s="214" t="s">
        <v>5038</v>
      </c>
      <c r="J600" s="204"/>
    </row>
    <row r="601" spans="1:10" ht="15" customHeight="1">
      <c r="A601" s="210">
        <f t="shared" si="19"/>
        <v>598</v>
      </c>
      <c r="B601" s="211">
        <v>46420</v>
      </c>
      <c r="C601" s="236" t="s">
        <v>5039</v>
      </c>
      <c r="D601" s="212" t="str">
        <f t="shared" si="18"/>
        <v>DRŽAVNA ŠKOLA ZA JAVNU UPRAVU (46420)</v>
      </c>
      <c r="E601" s="212" t="s">
        <v>5040</v>
      </c>
      <c r="F601" s="212" t="s">
        <v>276</v>
      </c>
      <c r="G601" s="213">
        <v>2720736</v>
      </c>
      <c r="H601" s="214" t="s">
        <v>5041</v>
      </c>
      <c r="J601" s="204"/>
    </row>
    <row r="602" spans="1:10" ht="15" customHeight="1">
      <c r="A602" s="199">
        <f t="shared" si="19"/>
        <v>599</v>
      </c>
      <c r="B602" s="206">
        <v>6040</v>
      </c>
      <c r="C602" s="207" t="s">
        <v>5042</v>
      </c>
      <c r="D602" s="212" t="str">
        <f t="shared" si="18"/>
        <v>URED PUČKOG PRAVOBRANITELJA (6040)</v>
      </c>
      <c r="E602" s="207" t="s">
        <v>5043</v>
      </c>
      <c r="F602" s="207" t="s">
        <v>276</v>
      </c>
      <c r="G602" s="208">
        <v>515655</v>
      </c>
      <c r="H602" s="209" t="s">
        <v>5044</v>
      </c>
      <c r="J602" s="204"/>
    </row>
    <row r="603" spans="1:10" ht="15" customHeight="1">
      <c r="A603" s="199">
        <f t="shared" si="19"/>
        <v>600</v>
      </c>
      <c r="B603" s="206">
        <v>24027</v>
      </c>
      <c r="C603" s="207" t="s">
        <v>5045</v>
      </c>
      <c r="D603" s="212" t="str">
        <f t="shared" si="18"/>
        <v>PRAVOBRANITELJ ZA DJECU (24027)</v>
      </c>
      <c r="E603" s="207" t="s">
        <v>5046</v>
      </c>
      <c r="F603" s="207" t="s">
        <v>276</v>
      </c>
      <c r="G603" s="208">
        <v>1748068</v>
      </c>
      <c r="H603" s="209" t="s">
        <v>5047</v>
      </c>
      <c r="J603" s="204"/>
    </row>
    <row r="604" spans="1:10" ht="15" customHeight="1">
      <c r="A604" s="199">
        <f t="shared" si="19"/>
        <v>601</v>
      </c>
      <c r="B604" s="206">
        <v>24060</v>
      </c>
      <c r="C604" s="207" t="s">
        <v>5048</v>
      </c>
      <c r="D604" s="212" t="str">
        <f t="shared" si="18"/>
        <v>PRAVOBRANITELJ/ICA ZA RAVNOPRAVNOST SPOLOVA (24060)</v>
      </c>
      <c r="E604" s="207" t="s">
        <v>5049</v>
      </c>
      <c r="F604" s="207" t="s">
        <v>276</v>
      </c>
      <c r="G604" s="208">
        <v>1768832</v>
      </c>
      <c r="H604" s="209" t="s">
        <v>5050</v>
      </c>
      <c r="J604" s="204"/>
    </row>
    <row r="605" spans="1:10" ht="15" customHeight="1">
      <c r="A605" s="199">
        <f t="shared" si="19"/>
        <v>602</v>
      </c>
      <c r="B605" s="206">
        <v>43564</v>
      </c>
      <c r="C605" s="207" t="s">
        <v>5051</v>
      </c>
      <c r="D605" s="212" t="str">
        <f t="shared" si="18"/>
        <v>PRAVOBRANITELJICA ZA OSOBE S INVALIDITETOM (43564)</v>
      </c>
      <c r="E605" s="207" t="s">
        <v>5052</v>
      </c>
      <c r="F605" s="207" t="s">
        <v>276</v>
      </c>
      <c r="G605" s="208">
        <v>2397161</v>
      </c>
      <c r="H605" s="209" t="s">
        <v>5053</v>
      </c>
      <c r="J605" s="204"/>
    </row>
    <row r="606" spans="1:10" ht="15" customHeight="1">
      <c r="A606" s="199">
        <f t="shared" si="19"/>
        <v>603</v>
      </c>
      <c r="B606" s="206">
        <v>6099</v>
      </c>
      <c r="C606" s="207" t="s">
        <v>5054</v>
      </c>
      <c r="D606" s="212" t="str">
        <f t="shared" si="18"/>
        <v>DRŽAVNI ZAVOD ZA STATISTIKU (6099)</v>
      </c>
      <c r="E606" s="207" t="s">
        <v>5055</v>
      </c>
      <c r="F606" s="207" t="s">
        <v>276</v>
      </c>
      <c r="G606" s="208">
        <v>3220338</v>
      </c>
      <c r="H606" s="209" t="s">
        <v>5056</v>
      </c>
      <c r="J606" s="204"/>
    </row>
    <row r="607" spans="1:10" ht="15" customHeight="1">
      <c r="A607" s="199">
        <f t="shared" si="19"/>
        <v>604</v>
      </c>
      <c r="B607" s="206">
        <v>6138</v>
      </c>
      <c r="C607" s="207" t="s">
        <v>5057</v>
      </c>
      <c r="D607" s="212" t="str">
        <f t="shared" si="18"/>
        <v>DRŽAVNI URED ZA REVIZIJU (6138)</v>
      </c>
      <c r="E607" s="207" t="s">
        <v>5058</v>
      </c>
      <c r="F607" s="207" t="s">
        <v>276</v>
      </c>
      <c r="G607" s="208">
        <v>687979</v>
      </c>
      <c r="H607" s="209" t="s">
        <v>5059</v>
      </c>
      <c r="J607" s="204"/>
    </row>
    <row r="608" spans="1:10" ht="15" customHeight="1">
      <c r="A608" s="199">
        <f t="shared" si="19"/>
        <v>605</v>
      </c>
      <c r="B608" s="206">
        <v>24094</v>
      </c>
      <c r="C608" s="207" t="s">
        <v>5060</v>
      </c>
      <c r="D608" s="212" t="str">
        <f t="shared" si="18"/>
        <v>DRŽAVNA KOMISIJA ZA KONTROLU POSTUPAKA JAVNE NABAVE (24094)</v>
      </c>
      <c r="E608" s="207" t="s">
        <v>5061</v>
      </c>
      <c r="F608" s="207" t="s">
        <v>276</v>
      </c>
      <c r="G608" s="208">
        <v>1777831</v>
      </c>
      <c r="H608" s="209" t="s">
        <v>5062</v>
      </c>
      <c r="J608" s="204"/>
    </row>
    <row r="609" spans="1:10" ht="15" customHeight="1">
      <c r="A609" s="199">
        <f t="shared" si="19"/>
        <v>606</v>
      </c>
      <c r="B609" s="206">
        <v>50709</v>
      </c>
      <c r="C609" s="207" t="s">
        <v>5063</v>
      </c>
      <c r="D609" s="212" t="str">
        <f t="shared" si="18"/>
        <v>DRŽAVNI INSPEKTORAT (50709)</v>
      </c>
      <c r="E609" s="207" t="s">
        <v>5064</v>
      </c>
      <c r="F609" s="207" t="s">
        <v>276</v>
      </c>
      <c r="G609" s="208">
        <v>5068711</v>
      </c>
      <c r="H609" s="209" t="s">
        <v>5065</v>
      </c>
      <c r="J609" s="204"/>
    </row>
    <row r="610" spans="1:10" ht="15" customHeight="1">
      <c r="A610" s="199">
        <f t="shared" si="19"/>
        <v>607</v>
      </c>
      <c r="B610" s="206">
        <v>23987</v>
      </c>
      <c r="C610" s="207" t="s">
        <v>5066</v>
      </c>
      <c r="D610" s="212" t="str">
        <f t="shared" si="18"/>
        <v>URED VIJEĆA ZA NACIONALNU SIGURNOST (23987)</v>
      </c>
      <c r="E610" s="207" t="s">
        <v>5067</v>
      </c>
      <c r="F610" s="207" t="s">
        <v>276</v>
      </c>
      <c r="G610" s="208">
        <v>1730100</v>
      </c>
      <c r="H610" s="209" t="s">
        <v>5068</v>
      </c>
      <c r="J610" s="204"/>
    </row>
    <row r="611" spans="1:10" ht="15" customHeight="1">
      <c r="A611" s="199">
        <f t="shared" si="19"/>
        <v>608</v>
      </c>
      <c r="B611" s="206">
        <v>42750</v>
      </c>
      <c r="C611" s="207" t="s">
        <v>5069</v>
      </c>
      <c r="D611" s="212" t="str">
        <f t="shared" si="18"/>
        <v>OPERATIVNO-TEHNIČKI CENTAR ZA NADZOR TELEKOMUNIKACIJA (42750)</v>
      </c>
      <c r="E611" s="207" t="s">
        <v>5070</v>
      </c>
      <c r="F611" s="207" t="s">
        <v>276</v>
      </c>
      <c r="G611" s="208">
        <v>2255308</v>
      </c>
      <c r="H611" s="209" t="s">
        <v>5071</v>
      </c>
      <c r="J611" s="204"/>
    </row>
    <row r="612" spans="1:10" ht="15" customHeight="1">
      <c r="A612" s="199">
        <f t="shared" si="19"/>
        <v>609</v>
      </c>
      <c r="B612" s="206">
        <v>42768</v>
      </c>
      <c r="C612" s="207" t="s">
        <v>5072</v>
      </c>
      <c r="D612" s="212" t="str">
        <f t="shared" si="18"/>
        <v>ZAVOD ZA SIGURNOST INFORMACIJSKIH SUSTAVA (42768)</v>
      </c>
      <c r="E612" s="207" t="s">
        <v>5073</v>
      </c>
      <c r="F612" s="207" t="s">
        <v>276</v>
      </c>
      <c r="G612" s="208">
        <v>2255294</v>
      </c>
      <c r="H612" s="209" t="s">
        <v>5074</v>
      </c>
      <c r="J612" s="204"/>
    </row>
    <row r="613" spans="1:10" ht="15" customHeight="1">
      <c r="A613" s="199">
        <f t="shared" si="19"/>
        <v>610</v>
      </c>
      <c r="B613" s="206">
        <v>25860</v>
      </c>
      <c r="C613" s="207" t="s">
        <v>5075</v>
      </c>
      <c r="D613" s="212" t="str">
        <f t="shared" si="18"/>
        <v>AGENCIJA ZA ZAŠTITU OSOBNIH PODATAKA (25860)</v>
      </c>
      <c r="E613" s="207" t="s">
        <v>5076</v>
      </c>
      <c r="F613" s="207" t="s">
        <v>276</v>
      </c>
      <c r="G613" s="208">
        <v>1837907</v>
      </c>
      <c r="H613" s="209" t="s">
        <v>5077</v>
      </c>
      <c r="J613" s="204"/>
    </row>
    <row r="614" spans="1:10" ht="15" customHeight="1" thickBot="1">
      <c r="A614" s="199">
        <f t="shared" si="19"/>
        <v>611</v>
      </c>
      <c r="B614" s="206">
        <v>48226</v>
      </c>
      <c r="C614" s="237" t="s">
        <v>5078</v>
      </c>
      <c r="D614" s="212" t="str">
        <f t="shared" si="18"/>
        <v>POVJERENIK ZA INFORMIRANJE (48226)</v>
      </c>
      <c r="E614" s="237" t="s">
        <v>5079</v>
      </c>
      <c r="F614" s="237" t="s">
        <v>276</v>
      </c>
      <c r="G614" s="238">
        <v>4126904</v>
      </c>
      <c r="H614" s="239">
        <v>68011638990</v>
      </c>
      <c r="J614" s="204"/>
    </row>
    <row r="615" spans="1:10" ht="29.25" customHeight="1" thickTop="1">
      <c r="A615" s="311" t="s">
        <v>5080</v>
      </c>
      <c r="B615" s="311"/>
      <c r="C615" s="311"/>
      <c r="D615" s="311"/>
      <c r="E615" s="311"/>
      <c r="F615" s="311"/>
      <c r="G615" s="311"/>
      <c r="H615" s="311"/>
    </row>
    <row r="616" spans="1:10" ht="15" customHeight="1">
      <c r="B616" s="241"/>
      <c r="H616" s="243"/>
    </row>
    <row r="617" spans="1:10" ht="15" customHeight="1">
      <c r="B617" s="241"/>
      <c r="H617" s="243"/>
    </row>
    <row r="618" spans="1:10" ht="15" customHeight="1">
      <c r="B618" s="241"/>
      <c r="H618" s="243"/>
    </row>
    <row r="619" spans="1:10" ht="15" customHeight="1">
      <c r="B619" s="241"/>
      <c r="H619" s="243"/>
    </row>
    <row r="620" spans="1:10" ht="15" customHeight="1">
      <c r="B620" s="241"/>
      <c r="H620" s="243"/>
    </row>
    <row r="621" spans="1:10" ht="15" customHeight="1">
      <c r="A621" s="189"/>
      <c r="B621" s="241"/>
      <c r="H621" s="243"/>
    </row>
    <row r="622" spans="1:10" ht="15" customHeight="1">
      <c r="A622" s="189"/>
      <c r="B622" s="241"/>
      <c r="H622" s="243"/>
    </row>
    <row r="623" spans="1:10" ht="15" customHeight="1">
      <c r="A623" s="189"/>
      <c r="B623" s="241"/>
      <c r="H623" s="243"/>
    </row>
    <row r="624" spans="1:10" ht="15" customHeight="1">
      <c r="A624" s="189"/>
      <c r="B624" s="241"/>
      <c r="H624" s="243"/>
    </row>
    <row r="625" spans="1:8" ht="15" customHeight="1">
      <c r="A625" s="189"/>
      <c r="B625" s="241"/>
      <c r="H625" s="243"/>
    </row>
    <row r="626" spans="1:8" ht="15" customHeight="1">
      <c r="A626" s="189"/>
      <c r="B626" s="241"/>
      <c r="H626" s="243"/>
    </row>
    <row r="627" spans="1:8" ht="15" customHeight="1">
      <c r="A627" s="189"/>
      <c r="B627" s="241"/>
      <c r="H627" s="243"/>
    </row>
    <row r="628" spans="1:8" ht="15" customHeight="1">
      <c r="A628" s="189"/>
      <c r="B628" s="241"/>
      <c r="H628" s="243"/>
    </row>
    <row r="629" spans="1:8" ht="15" customHeight="1">
      <c r="A629" s="189"/>
      <c r="B629" s="241"/>
      <c r="H629" s="243"/>
    </row>
    <row r="630" spans="1:8" ht="15" customHeight="1">
      <c r="A630" s="189"/>
      <c r="B630" s="241"/>
      <c r="H630" s="243"/>
    </row>
    <row r="631" spans="1:8" ht="15" customHeight="1">
      <c r="A631" s="189"/>
      <c r="B631" s="241"/>
      <c r="H631" s="243"/>
    </row>
    <row r="632" spans="1:8" ht="15" customHeight="1">
      <c r="A632" s="189"/>
      <c r="B632" s="241"/>
      <c r="H632" s="243"/>
    </row>
    <row r="633" spans="1:8" ht="15" customHeight="1">
      <c r="A633" s="189"/>
      <c r="B633" s="241"/>
      <c r="H633" s="243"/>
    </row>
    <row r="634" spans="1:8" ht="15" customHeight="1">
      <c r="A634" s="189"/>
      <c r="B634" s="241"/>
      <c r="H634" s="243"/>
    </row>
    <row r="635" spans="1:8" ht="15" customHeight="1">
      <c r="A635" s="189"/>
      <c r="B635" s="241"/>
      <c r="H635" s="243"/>
    </row>
    <row r="636" spans="1:8" ht="15" customHeight="1">
      <c r="A636" s="189"/>
      <c r="B636" s="241"/>
      <c r="H636" s="243"/>
    </row>
    <row r="637" spans="1:8" ht="15" customHeight="1">
      <c r="A637" s="189"/>
      <c r="B637" s="241"/>
      <c r="H637" s="243"/>
    </row>
    <row r="638" spans="1:8" ht="15" customHeight="1">
      <c r="A638" s="189"/>
      <c r="B638" s="241"/>
      <c r="H638" s="243"/>
    </row>
    <row r="639" spans="1:8" ht="15" customHeight="1">
      <c r="A639" s="189"/>
      <c r="B639" s="241"/>
      <c r="H639" s="243"/>
    </row>
    <row r="640" spans="1:8" ht="15" customHeight="1">
      <c r="A640" s="189"/>
      <c r="B640" s="241"/>
      <c r="H640" s="243"/>
    </row>
    <row r="641" spans="1:8" ht="15" customHeight="1">
      <c r="A641" s="189"/>
      <c r="B641" s="241"/>
      <c r="H641" s="243"/>
    </row>
    <row r="642" spans="1:8" ht="15" customHeight="1">
      <c r="A642" s="189"/>
      <c r="B642" s="241"/>
      <c r="H642" s="243"/>
    </row>
    <row r="643" spans="1:8" ht="15" customHeight="1">
      <c r="A643" s="189"/>
      <c r="B643" s="241"/>
      <c r="H643" s="243"/>
    </row>
    <row r="644" spans="1:8" ht="15" customHeight="1">
      <c r="A644" s="189"/>
      <c r="B644" s="241"/>
      <c r="H644" s="243"/>
    </row>
    <row r="645" spans="1:8" ht="15" customHeight="1">
      <c r="A645" s="189"/>
      <c r="B645" s="241"/>
      <c r="H645" s="243"/>
    </row>
    <row r="646" spans="1:8" ht="15" customHeight="1">
      <c r="A646" s="189"/>
      <c r="B646" s="241"/>
      <c r="H646" s="243"/>
    </row>
    <row r="647" spans="1:8" ht="15" customHeight="1">
      <c r="A647" s="189"/>
      <c r="B647" s="241"/>
      <c r="H647" s="243"/>
    </row>
    <row r="648" spans="1:8" ht="15" customHeight="1">
      <c r="A648" s="189"/>
      <c r="B648" s="241"/>
      <c r="H648" s="243"/>
    </row>
    <row r="649" spans="1:8" ht="15" customHeight="1">
      <c r="A649" s="189"/>
      <c r="B649" s="241"/>
      <c r="H649" s="243"/>
    </row>
    <row r="650" spans="1:8" ht="15" customHeight="1">
      <c r="A650" s="189"/>
      <c r="B650" s="241"/>
      <c r="H650" s="243"/>
    </row>
    <row r="651" spans="1:8" ht="15" customHeight="1">
      <c r="A651" s="189"/>
      <c r="B651" s="241"/>
      <c r="H651" s="243"/>
    </row>
    <row r="652" spans="1:8" ht="15" customHeight="1">
      <c r="A652" s="189"/>
      <c r="B652" s="241"/>
      <c r="H652" s="243"/>
    </row>
    <row r="653" spans="1:8" ht="15" customHeight="1">
      <c r="A653" s="189"/>
      <c r="B653" s="241"/>
      <c r="H653" s="243"/>
    </row>
    <row r="654" spans="1:8" ht="15" customHeight="1">
      <c r="A654" s="189"/>
      <c r="B654" s="241"/>
      <c r="H654" s="243"/>
    </row>
    <row r="655" spans="1:8" ht="15" customHeight="1">
      <c r="A655" s="189"/>
      <c r="B655" s="241"/>
      <c r="H655" s="243"/>
    </row>
    <row r="656" spans="1:8" ht="15" customHeight="1">
      <c r="A656" s="189"/>
      <c r="B656" s="241"/>
      <c r="H656" s="243"/>
    </row>
    <row r="657" spans="1:8" ht="15" customHeight="1">
      <c r="A657" s="189"/>
      <c r="B657" s="241"/>
      <c r="H657" s="243"/>
    </row>
    <row r="658" spans="1:8" ht="15" customHeight="1">
      <c r="A658" s="189"/>
      <c r="B658" s="241"/>
      <c r="H658" s="243"/>
    </row>
    <row r="659" spans="1:8" ht="15" customHeight="1">
      <c r="A659" s="189"/>
      <c r="B659" s="241"/>
      <c r="H659" s="243"/>
    </row>
    <row r="660" spans="1:8" ht="15" customHeight="1">
      <c r="A660" s="189"/>
      <c r="B660" s="241"/>
      <c r="H660" s="243"/>
    </row>
    <row r="661" spans="1:8" ht="15" customHeight="1">
      <c r="A661" s="189"/>
      <c r="B661" s="241"/>
      <c r="H661" s="243"/>
    </row>
    <row r="662" spans="1:8" ht="15" customHeight="1">
      <c r="A662" s="189"/>
      <c r="B662" s="241"/>
      <c r="H662" s="243"/>
    </row>
    <row r="663" spans="1:8" ht="15" customHeight="1">
      <c r="A663" s="189"/>
      <c r="B663" s="241"/>
      <c r="H663" s="243"/>
    </row>
    <row r="664" spans="1:8" ht="15" customHeight="1">
      <c r="A664" s="189"/>
      <c r="B664" s="241"/>
      <c r="H664" s="243"/>
    </row>
    <row r="665" spans="1:8" ht="15" customHeight="1">
      <c r="A665" s="189"/>
      <c r="B665" s="241"/>
      <c r="H665" s="243"/>
    </row>
    <row r="666" spans="1:8" ht="15" customHeight="1">
      <c r="A666" s="189"/>
      <c r="B666" s="241"/>
      <c r="H666" s="243"/>
    </row>
    <row r="667" spans="1:8" ht="15" customHeight="1">
      <c r="A667" s="189"/>
      <c r="B667" s="241"/>
      <c r="H667" s="243"/>
    </row>
    <row r="668" spans="1:8" ht="15" customHeight="1">
      <c r="A668" s="189"/>
      <c r="B668" s="241"/>
      <c r="H668" s="243"/>
    </row>
    <row r="669" spans="1:8" ht="15" customHeight="1">
      <c r="A669" s="189"/>
      <c r="B669" s="241"/>
      <c r="H669" s="243"/>
    </row>
    <row r="670" spans="1:8" ht="15" customHeight="1">
      <c r="A670" s="189"/>
      <c r="B670" s="241"/>
      <c r="H670" s="243"/>
    </row>
    <row r="671" spans="1:8" ht="15" customHeight="1">
      <c r="A671" s="189"/>
      <c r="B671" s="241"/>
      <c r="H671" s="243"/>
    </row>
    <row r="672" spans="1:8" ht="15" customHeight="1">
      <c r="A672" s="189"/>
      <c r="B672" s="241"/>
      <c r="H672" s="243"/>
    </row>
    <row r="673" spans="1:8" ht="15" customHeight="1">
      <c r="A673" s="189"/>
      <c r="B673" s="241"/>
      <c r="H673" s="243"/>
    </row>
    <row r="674" spans="1:8" ht="15" customHeight="1">
      <c r="A674" s="189"/>
      <c r="B674" s="241"/>
      <c r="H674" s="243"/>
    </row>
    <row r="675" spans="1:8" ht="15" customHeight="1">
      <c r="A675" s="189"/>
      <c r="B675" s="241"/>
      <c r="H675" s="243"/>
    </row>
    <row r="676" spans="1:8" ht="15" customHeight="1">
      <c r="A676" s="189"/>
      <c r="B676" s="241"/>
      <c r="H676" s="243"/>
    </row>
    <row r="677" spans="1:8" ht="15" customHeight="1">
      <c r="A677" s="189"/>
      <c r="B677" s="241"/>
      <c r="H677" s="243"/>
    </row>
    <row r="678" spans="1:8" ht="15" customHeight="1">
      <c r="A678" s="189"/>
      <c r="B678" s="241"/>
      <c r="H678" s="243"/>
    </row>
    <row r="679" spans="1:8" ht="15" customHeight="1">
      <c r="A679" s="189"/>
      <c r="B679" s="241"/>
      <c r="H679" s="243"/>
    </row>
    <row r="680" spans="1:8" ht="15" customHeight="1">
      <c r="A680" s="189"/>
      <c r="B680" s="241"/>
      <c r="H680" s="243"/>
    </row>
    <row r="681" spans="1:8" ht="15" customHeight="1">
      <c r="A681" s="189"/>
      <c r="B681" s="241"/>
      <c r="H681" s="243"/>
    </row>
    <row r="682" spans="1:8" ht="15" customHeight="1">
      <c r="A682" s="189"/>
      <c r="B682" s="241"/>
      <c r="H682" s="243"/>
    </row>
    <row r="683" spans="1:8" ht="15" customHeight="1">
      <c r="A683" s="189"/>
      <c r="B683" s="241"/>
      <c r="H683" s="243"/>
    </row>
    <row r="684" spans="1:8" ht="15" customHeight="1">
      <c r="A684" s="189"/>
      <c r="B684" s="241"/>
      <c r="H684" s="243"/>
    </row>
    <row r="685" spans="1:8" ht="15" customHeight="1">
      <c r="B685" s="241"/>
      <c r="H685" s="243"/>
    </row>
    <row r="686" spans="1:8" s="204" customFormat="1" ht="15" customHeight="1">
      <c r="A686" s="240"/>
      <c r="B686" s="241"/>
      <c r="C686" s="241"/>
      <c r="D686" s="241"/>
      <c r="E686" s="241"/>
      <c r="F686" s="242"/>
      <c r="G686" s="241"/>
      <c r="H686" s="243"/>
    </row>
    <row r="687" spans="1:8" s="204" customFormat="1" ht="15" customHeight="1">
      <c r="A687" s="240"/>
      <c r="B687" s="241"/>
      <c r="C687" s="241"/>
      <c r="D687" s="241"/>
      <c r="E687" s="241"/>
      <c r="F687" s="242"/>
      <c r="G687" s="241"/>
      <c r="H687" s="244"/>
    </row>
    <row r="688" spans="1:8" s="204" customFormat="1" ht="15" customHeight="1">
      <c r="A688" s="240"/>
      <c r="B688" s="241"/>
      <c r="C688" s="241"/>
      <c r="D688" s="241"/>
      <c r="E688" s="241"/>
      <c r="F688" s="242"/>
      <c r="G688" s="241"/>
      <c r="H688" s="244"/>
    </row>
    <row r="689" spans="1:8" s="204" customFormat="1" ht="15" customHeight="1">
      <c r="A689" s="240"/>
      <c r="B689" s="241"/>
      <c r="C689" s="241"/>
      <c r="D689" s="241"/>
      <c r="E689" s="241"/>
      <c r="F689" s="242"/>
      <c r="G689" s="241"/>
      <c r="H689" s="244"/>
    </row>
    <row r="690" spans="1:8" s="204" customFormat="1" ht="15" customHeight="1">
      <c r="A690" s="240"/>
      <c r="B690" s="241"/>
      <c r="C690" s="241"/>
      <c r="D690" s="241"/>
      <c r="E690" s="241"/>
      <c r="F690" s="242"/>
      <c r="G690" s="241"/>
      <c r="H690" s="244"/>
    </row>
    <row r="691" spans="1:8" s="204" customFormat="1" ht="15" customHeight="1">
      <c r="A691" s="240"/>
      <c r="B691" s="241"/>
      <c r="C691" s="241"/>
      <c r="D691" s="241"/>
      <c r="E691" s="241"/>
      <c r="F691" s="242"/>
      <c r="G691" s="241"/>
      <c r="H691" s="244"/>
    </row>
    <row r="692" spans="1:8" s="204" customFormat="1" ht="15" customHeight="1">
      <c r="A692" s="240"/>
      <c r="B692" s="241"/>
      <c r="C692" s="241"/>
      <c r="D692" s="241"/>
      <c r="E692" s="241"/>
      <c r="F692" s="242"/>
      <c r="G692" s="241"/>
      <c r="H692" s="244"/>
    </row>
    <row r="693" spans="1:8" s="204" customFormat="1" ht="15" customHeight="1">
      <c r="A693" s="240"/>
      <c r="B693" s="241"/>
      <c r="C693" s="241"/>
      <c r="D693" s="241"/>
      <c r="E693" s="241"/>
      <c r="F693" s="242"/>
      <c r="G693" s="241"/>
      <c r="H693" s="244"/>
    </row>
    <row r="694" spans="1:8" s="204" customFormat="1" ht="15" customHeight="1">
      <c r="A694" s="240"/>
      <c r="B694" s="241"/>
      <c r="C694" s="241"/>
      <c r="D694" s="241"/>
      <c r="E694" s="241"/>
      <c r="F694" s="242"/>
      <c r="G694" s="241"/>
      <c r="H694" s="244"/>
    </row>
    <row r="695" spans="1:8" s="204" customFormat="1" ht="15" customHeight="1">
      <c r="A695" s="240"/>
      <c r="B695" s="241"/>
      <c r="C695" s="241"/>
      <c r="D695" s="241"/>
      <c r="E695" s="241"/>
      <c r="F695" s="242"/>
      <c r="G695" s="241"/>
      <c r="H695" s="244"/>
    </row>
    <row r="696" spans="1:8" s="204" customFormat="1" ht="15" customHeight="1">
      <c r="A696" s="240"/>
      <c r="B696" s="241"/>
      <c r="C696" s="241"/>
      <c r="D696" s="241"/>
      <c r="E696" s="241"/>
      <c r="F696" s="242"/>
      <c r="G696" s="241"/>
      <c r="H696" s="244"/>
    </row>
    <row r="697" spans="1:8" s="204" customFormat="1" ht="15" customHeight="1">
      <c r="A697" s="240"/>
      <c r="B697" s="241"/>
      <c r="C697" s="241"/>
      <c r="D697" s="241"/>
      <c r="E697" s="241"/>
      <c r="F697" s="242"/>
      <c r="G697" s="241"/>
      <c r="H697" s="244"/>
    </row>
    <row r="698" spans="1:8" s="204" customFormat="1" ht="15" customHeight="1">
      <c r="A698" s="240"/>
      <c r="B698" s="241"/>
      <c r="C698" s="241"/>
      <c r="D698" s="241"/>
      <c r="E698" s="241"/>
      <c r="F698" s="242"/>
      <c r="G698" s="241"/>
      <c r="H698" s="244"/>
    </row>
    <row r="699" spans="1:8" ht="15" customHeight="1">
      <c r="B699" s="241"/>
      <c r="H699" s="244"/>
    </row>
    <row r="700" spans="1:8" s="204" customFormat="1" ht="15" customHeight="1">
      <c r="A700" s="240"/>
      <c r="B700" s="241"/>
      <c r="C700" s="241"/>
      <c r="D700" s="241"/>
      <c r="E700" s="241"/>
      <c r="F700" s="242"/>
      <c r="G700" s="241"/>
      <c r="H700" s="243"/>
    </row>
    <row r="701" spans="1:8" s="204" customFormat="1" ht="15" customHeight="1">
      <c r="A701" s="240"/>
      <c r="B701" s="241"/>
      <c r="C701" s="241"/>
      <c r="D701" s="241"/>
      <c r="E701" s="241"/>
      <c r="F701" s="242"/>
      <c r="G701" s="241"/>
      <c r="H701" s="244"/>
    </row>
    <row r="702" spans="1:8" s="204" customFormat="1" ht="15" customHeight="1">
      <c r="A702" s="240"/>
      <c r="B702" s="241"/>
      <c r="C702" s="241"/>
      <c r="D702" s="241"/>
      <c r="E702" s="241"/>
      <c r="F702" s="242"/>
      <c r="G702" s="241"/>
      <c r="H702" s="244"/>
    </row>
    <row r="703" spans="1:8" s="204" customFormat="1" ht="15" customHeight="1">
      <c r="A703" s="240"/>
      <c r="B703" s="241"/>
      <c r="C703" s="241"/>
      <c r="D703" s="241"/>
      <c r="E703" s="241"/>
      <c r="F703" s="242"/>
      <c r="G703" s="241"/>
      <c r="H703" s="244"/>
    </row>
    <row r="704" spans="1:8" s="204" customFormat="1" ht="15" customHeight="1">
      <c r="A704" s="240"/>
      <c r="B704" s="241"/>
      <c r="C704" s="241"/>
      <c r="D704" s="241"/>
      <c r="E704" s="241"/>
      <c r="F704" s="242"/>
      <c r="G704" s="241"/>
      <c r="H704" s="244"/>
    </row>
    <row r="705" spans="1:8" s="204" customFormat="1" ht="15" customHeight="1">
      <c r="A705" s="240"/>
      <c r="B705" s="241"/>
      <c r="C705" s="241"/>
      <c r="D705" s="241"/>
      <c r="E705" s="241"/>
      <c r="F705" s="242"/>
      <c r="G705" s="241"/>
      <c r="H705" s="244"/>
    </row>
    <row r="706" spans="1:8" s="204" customFormat="1" ht="15" customHeight="1">
      <c r="A706" s="240"/>
      <c r="B706" s="241"/>
      <c r="C706" s="241"/>
      <c r="D706" s="241"/>
      <c r="E706" s="241"/>
      <c r="F706" s="242"/>
      <c r="G706" s="241"/>
      <c r="H706" s="244"/>
    </row>
    <row r="707" spans="1:8" s="204" customFormat="1" ht="15" customHeight="1">
      <c r="A707" s="240"/>
      <c r="B707" s="240"/>
      <c r="C707" s="241"/>
      <c r="D707" s="241"/>
      <c r="E707" s="241"/>
      <c r="F707" s="242"/>
      <c r="G707" s="241"/>
      <c r="H707" s="244"/>
    </row>
    <row r="708" spans="1:8" s="204" customFormat="1" ht="15" customHeight="1">
      <c r="A708" s="240"/>
      <c r="B708" s="240"/>
      <c r="C708" s="241"/>
      <c r="D708" s="241"/>
      <c r="E708" s="241"/>
      <c r="F708" s="242"/>
      <c r="G708" s="241"/>
      <c r="H708" s="244"/>
    </row>
    <row r="709" spans="1:8" s="204" customFormat="1" ht="15" customHeight="1">
      <c r="A709" s="240"/>
      <c r="B709" s="240"/>
      <c r="C709" s="241"/>
      <c r="D709" s="241"/>
      <c r="E709" s="241"/>
      <c r="F709" s="242"/>
      <c r="G709" s="241"/>
      <c r="H709" s="244"/>
    </row>
    <row r="710" spans="1:8" s="204" customFormat="1" ht="15" customHeight="1">
      <c r="A710" s="240"/>
      <c r="B710" s="240"/>
      <c r="C710" s="241"/>
      <c r="D710" s="241"/>
      <c r="E710" s="241"/>
      <c r="F710" s="242"/>
      <c r="G710" s="241"/>
      <c r="H710" s="244"/>
    </row>
    <row r="711" spans="1:8" s="204" customFormat="1" ht="15" customHeight="1">
      <c r="A711" s="240"/>
      <c r="B711" s="240"/>
      <c r="C711" s="241"/>
      <c r="D711" s="241"/>
      <c r="E711" s="241"/>
      <c r="F711" s="242"/>
      <c r="G711" s="241"/>
      <c r="H711" s="244"/>
    </row>
    <row r="712" spans="1:8" ht="15" customHeight="1">
      <c r="H712" s="244"/>
    </row>
    <row r="713" spans="1:8" ht="15" customHeight="1">
      <c r="H713" s="243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54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W502"/>
  <sheetViews>
    <sheetView showGridLines="0" topLeftCell="B1" zoomScale="120" zoomScaleNormal="120" workbookViewId="0">
      <pane ySplit="2" topLeftCell="A3" activePane="bottomLeft" state="frozen"/>
      <selection pane="bottomLeft" activeCell="I7" sqref="I7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46.85546875" customWidth="1"/>
    <col min="11" max="11" width="9.140625" customWidth="1"/>
    <col min="12" max="12" width="9.140625" hidden="1" customWidth="1"/>
    <col min="13" max="13" width="11.42578125" hidden="1" customWidth="1"/>
    <col min="14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9" width="23.7109375" hidden="1" customWidth="1"/>
    <col min="20" max="20" width="9.140625" hidden="1" customWidth="1"/>
    <col min="21" max="21" width="14.28515625" hidden="1" customWidth="1"/>
    <col min="22" max="23" width="0" hidden="1" customWidth="1"/>
    <col min="24" max="16384" width="9.140625" hidden="1"/>
  </cols>
  <sheetData>
    <row r="1" spans="1:23" ht="37.5" customHeight="1">
      <c r="A1" s="302" t="s">
        <v>5271</v>
      </c>
      <c r="B1" s="302"/>
      <c r="C1" s="302"/>
      <c r="D1" s="302"/>
      <c r="E1" s="127" t="str">
        <f>IF(OR('OPĆI DIO'!C3="odaberite -",'OPĆI DIO'!C3=""),"Molimo odaberite proračunskog korisnika na radnom listu Opći podaci!","")</f>
        <v/>
      </c>
      <c r="I1" s="185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87" t="s">
        <v>657</v>
      </c>
      <c r="F2" s="28" t="s">
        <v>658</v>
      </c>
      <c r="G2" s="129" t="s">
        <v>3025</v>
      </c>
      <c r="H2" s="129" t="s">
        <v>1779</v>
      </c>
      <c r="I2" s="129" t="s">
        <v>3024</v>
      </c>
      <c r="J2" s="246" t="s">
        <v>5268</v>
      </c>
      <c r="L2" s="84" t="s">
        <v>637</v>
      </c>
      <c r="M2" s="84" t="s">
        <v>638</v>
      </c>
      <c r="R2" s="22" t="s">
        <v>650</v>
      </c>
    </row>
    <row r="3" spans="1:23">
      <c r="A3" s="81" t="str">
        <f>IF(E3="","",VLOOKUP('OPĆI DIO'!$C$3,'OPĆI DIO'!$L$6:$U$138,10,FALSE))</f>
        <v>08006</v>
      </c>
      <c r="B3" s="81" t="str">
        <f>IF(E3="","",VLOOKUP('OPĆI DIO'!$C$3,'OPĆI DIO'!$L$6:$U$138,9,FALSE))</f>
        <v>Sveučilišta i veleučilišta u Republici Hrvatskoj</v>
      </c>
      <c r="C3" s="124">
        <f t="shared" ref="C3:C66" si="0">IFERROR(VLOOKUP(E3,$R$6:$U$108,3,FALSE),"")</f>
        <v>31</v>
      </c>
      <c r="D3" s="80" t="str">
        <f t="shared" ref="D3:D66" si="1">IFERROR(VLOOKUP(E3,$R$6:$U$108,4,FALSE),"")</f>
        <v>Vlastiti prihodi</v>
      </c>
      <c r="E3" s="89">
        <v>6614</v>
      </c>
      <c r="F3" s="128" t="str">
        <f t="shared" ref="F3:F66" si="2">IFERROR(VLOOKUP(E3,$R$6:$U$108,2,FALSE),"")</f>
        <v>Prihodi od prodanih proizvoda i robe</v>
      </c>
      <c r="G3" s="122">
        <v>26545</v>
      </c>
      <c r="H3" s="122">
        <v>27367</v>
      </c>
      <c r="I3" s="122">
        <v>28216</v>
      </c>
      <c r="J3" s="89"/>
      <c r="L3" t="str">
        <f>LEFT(E3,2)</f>
        <v>66</v>
      </c>
      <c r="M3" t="str">
        <f>LEFT(E3,3)</f>
        <v>661</v>
      </c>
      <c r="N3" t="s">
        <v>266</v>
      </c>
      <c r="R3" s="22" t="s">
        <v>651</v>
      </c>
    </row>
    <row r="4" spans="1:23">
      <c r="A4" s="81" t="str">
        <f>IF(E4="","",VLOOKUP('OPĆI DIO'!$C$3,'OPĆI DIO'!$L$6:$U$138,10,FALSE))</f>
        <v>08006</v>
      </c>
      <c r="B4" s="81" t="str">
        <f>IF(E4="","",VLOOKUP('OPĆI DIO'!$C$3,'OPĆI DIO'!$L$6:$U$138,9,FALSE))</f>
        <v>Sveučilišta i veleučilišta u Republici Hrvatskoj</v>
      </c>
      <c r="C4" s="124">
        <f t="shared" si="0"/>
        <v>31</v>
      </c>
      <c r="D4" s="80" t="str">
        <f t="shared" si="1"/>
        <v>Vlastiti prihodi</v>
      </c>
      <c r="E4" s="89">
        <v>6615</v>
      </c>
      <c r="F4" s="128" t="str">
        <f t="shared" si="2"/>
        <v>Prihodi od pruženih usluga</v>
      </c>
      <c r="G4" s="122">
        <v>265445</v>
      </c>
      <c r="H4" s="122">
        <v>273675</v>
      </c>
      <c r="I4" s="122">
        <v>282158</v>
      </c>
      <c r="J4" s="89"/>
      <c r="L4" t="str">
        <f t="shared" ref="L4:L67" si="3">LEFT(E4,2)</f>
        <v>66</v>
      </c>
      <c r="M4" t="str">
        <f t="shared" ref="M4:M67" si="4">LEFT(E4,3)</f>
        <v>661</v>
      </c>
    </row>
    <row r="5" spans="1:23">
      <c r="A5" s="81" t="str">
        <f>IF(E5="","",VLOOKUP('OPĆI DIO'!$C$3,'OPĆI DIO'!$L$6:$U$138,10,FALSE))</f>
        <v>08006</v>
      </c>
      <c r="B5" s="81" t="str">
        <f>IF(E5="","",VLOOKUP('OPĆI DIO'!$C$3,'OPĆI DIO'!$L$6:$U$138,9,FALSE))</f>
        <v>Sveučilišta i veleučilišta u Republici Hrvatskoj</v>
      </c>
      <c r="C5" s="124">
        <f t="shared" si="0"/>
        <v>43</v>
      </c>
      <c r="D5" s="80" t="str">
        <f t="shared" si="1"/>
        <v>Ostali prihodi za posebne namjene</v>
      </c>
      <c r="E5" s="89">
        <v>65264</v>
      </c>
      <c r="F5" s="128" t="str">
        <f t="shared" si="2"/>
        <v>Sufinanciranje cijene usluge, participacije i slično</v>
      </c>
      <c r="G5" s="122">
        <v>738941</v>
      </c>
      <c r="H5" s="122">
        <v>1436791</v>
      </c>
      <c r="I5" s="122">
        <v>1481331</v>
      </c>
      <c r="J5" s="89"/>
      <c r="L5" t="str">
        <f t="shared" si="3"/>
        <v>65</v>
      </c>
      <c r="M5" t="str">
        <f t="shared" si="4"/>
        <v>652</v>
      </c>
      <c r="N5" t="s">
        <v>40</v>
      </c>
      <c r="O5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88" t="s">
        <v>654</v>
      </c>
      <c r="W5" s="88" t="s">
        <v>5089</v>
      </c>
    </row>
    <row r="6" spans="1:23">
      <c r="A6" s="81" t="str">
        <f>IF(E6="","",VLOOKUP('OPĆI DIO'!$C$3,'OPĆI DIO'!$L$6:$U$138,10,FALSE))</f>
        <v>08006</v>
      </c>
      <c r="B6" s="81" t="str">
        <f>IF(E6="","",VLOOKUP('OPĆI DIO'!$C$3,'OPĆI DIO'!$L$6:$U$138,9,FALSE))</f>
        <v>Sveučilišta i veleučilišta u Republici Hrvatskoj</v>
      </c>
      <c r="C6" s="124">
        <f t="shared" si="0"/>
        <v>43</v>
      </c>
      <c r="D6" s="80" t="str">
        <f t="shared" si="1"/>
        <v>Ostali prihodi za posebne namjene</v>
      </c>
      <c r="E6" s="89">
        <v>65268</v>
      </c>
      <c r="F6" s="128" t="str">
        <f t="shared" si="2"/>
        <v xml:space="preserve">Ostali prihodi za posebne namjene </v>
      </c>
      <c r="G6" s="122">
        <v>143341</v>
      </c>
      <c r="H6" s="122">
        <v>136837</v>
      </c>
      <c r="I6" s="122">
        <v>141079</v>
      </c>
      <c r="J6" s="89"/>
      <c r="L6" t="str">
        <f t="shared" si="3"/>
        <v>65</v>
      </c>
      <c r="M6" t="str">
        <f t="shared" si="4"/>
        <v>652</v>
      </c>
      <c r="N6">
        <v>11</v>
      </c>
      <c r="O6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1" t="str">
        <f>IF(E7="","",VLOOKUP('OPĆI DIO'!$C$3,'OPĆI DIO'!$L$6:$U$138,10,FALSE))</f>
        <v>08006</v>
      </c>
      <c r="B7" s="81" t="str">
        <f>IF(E7="","",VLOOKUP('OPĆI DIO'!$C$3,'OPĆI DIO'!$L$6:$U$138,9,FALSE))</f>
        <v>Sveučilišta i veleučilišta u Republici Hrvatskoj</v>
      </c>
      <c r="C7" s="124">
        <f t="shared" si="0"/>
        <v>11</v>
      </c>
      <c r="D7" s="80" t="str">
        <f t="shared" si="1"/>
        <v>Opći prihodi i primici</v>
      </c>
      <c r="E7" s="89" t="s">
        <v>650</v>
      </c>
      <c r="F7" s="128" t="str">
        <f t="shared" si="2"/>
        <v>Prihodi iz nadležnog proračuna za financiranje redovne djelatnosti proračunskih korisnika</v>
      </c>
      <c r="G7" s="122">
        <v>6279397</v>
      </c>
      <c r="H7" s="122">
        <v>6309222</v>
      </c>
      <c r="I7" s="122">
        <v>6339200</v>
      </c>
      <c r="J7" s="89"/>
      <c r="L7" t="str">
        <f t="shared" si="3"/>
        <v>67</v>
      </c>
      <c r="M7" t="str">
        <f t="shared" si="4"/>
        <v>671</v>
      </c>
      <c r="N7">
        <v>12</v>
      </c>
      <c r="O7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1" t="str">
        <f>IF(E8="","",VLOOKUP('OPĆI DIO'!$C$3,'OPĆI DIO'!$L$6:$U$138,10,FALSE))</f>
        <v>08006</v>
      </c>
      <c r="B8" s="81" t="str">
        <f>IF(E8="","",VLOOKUP('OPĆI DIO'!$C$3,'OPĆI DIO'!$L$6:$U$138,9,FALSE))</f>
        <v>Sveučilišta i veleučilišta u Republici Hrvatskoj</v>
      </c>
      <c r="C8" s="124">
        <f t="shared" si="0"/>
        <v>11</v>
      </c>
      <c r="D8" s="80" t="str">
        <f t="shared" si="1"/>
        <v>Opći prihodi i primici</v>
      </c>
      <c r="E8" s="89" t="s">
        <v>650</v>
      </c>
      <c r="F8" s="128" t="str">
        <f t="shared" si="2"/>
        <v>Prihodi iz nadležnog proračuna za financiranje redovne djelatnosti proračunskih korisnika</v>
      </c>
      <c r="G8" s="122">
        <v>113825</v>
      </c>
      <c r="H8" s="122">
        <v>113825</v>
      </c>
      <c r="I8" s="122">
        <v>113825</v>
      </c>
      <c r="J8" s="89"/>
      <c r="L8" t="str">
        <f t="shared" si="3"/>
        <v>67</v>
      </c>
      <c r="M8" t="str">
        <f t="shared" si="4"/>
        <v>671</v>
      </c>
      <c r="N8">
        <v>31</v>
      </c>
      <c r="O8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1" t="str">
        <f>IF(E9="","",VLOOKUP('OPĆI DIO'!$C$3,'OPĆI DIO'!$L$6:$U$138,10,FALSE))</f>
        <v>08006</v>
      </c>
      <c r="B9" s="81" t="str">
        <f>IF(E9="","",VLOOKUP('OPĆI DIO'!$C$3,'OPĆI DIO'!$L$6:$U$138,9,FALSE))</f>
        <v>Sveučilišta i veleučilišta u Republici Hrvatskoj</v>
      </c>
      <c r="C9" s="124">
        <f t="shared" si="0"/>
        <v>11</v>
      </c>
      <c r="D9" s="80" t="str">
        <f t="shared" si="1"/>
        <v>Opći prihodi i primici</v>
      </c>
      <c r="E9" s="89" t="s">
        <v>650</v>
      </c>
      <c r="F9" s="128" t="str">
        <f t="shared" si="2"/>
        <v>Prihodi iz nadležnog proračuna za financiranje redovne djelatnosti proračunskih korisnika</v>
      </c>
      <c r="G9" s="122">
        <v>805310</v>
      </c>
      <c r="H9" s="122">
        <v>805310</v>
      </c>
      <c r="I9" s="122">
        <v>805310</v>
      </c>
      <c r="J9" s="89"/>
      <c r="L9" t="str">
        <f t="shared" si="3"/>
        <v>67</v>
      </c>
      <c r="M9" t="str">
        <f t="shared" si="4"/>
        <v>671</v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1" t="str">
        <f>IF(E10="","",VLOOKUP('OPĆI DIO'!$C$3,'OPĆI DIO'!$L$6:$U$138,10,FALSE))</f>
        <v>08006</v>
      </c>
      <c r="B10" s="81" t="str">
        <f>IF(E10="","",VLOOKUP('OPĆI DIO'!$C$3,'OPĆI DIO'!$L$6:$U$138,9,FALSE))</f>
        <v>Sveučilišta i veleučilišta u Republici Hrvatskoj</v>
      </c>
      <c r="C10" s="124">
        <f t="shared" si="0"/>
        <v>52</v>
      </c>
      <c r="D10" s="80" t="str">
        <f t="shared" si="1"/>
        <v xml:space="preserve">Ostale pomoći i darovnice </v>
      </c>
      <c r="E10" s="89">
        <v>6391</v>
      </c>
      <c r="F10" s="128" t="str">
        <f t="shared" si="2"/>
        <v>Tekući prijenosi između proračunskih korisnika istog proračuna</v>
      </c>
      <c r="G10" s="122">
        <v>92276</v>
      </c>
      <c r="H10" s="122">
        <v>56547</v>
      </c>
      <c r="I10" s="122">
        <v>22028</v>
      </c>
      <c r="J10" s="288" t="s">
        <v>3539</v>
      </c>
      <c r="L10" t="str">
        <f t="shared" si="3"/>
        <v>63</v>
      </c>
      <c r="M10" t="str">
        <f t="shared" si="4"/>
        <v>639</v>
      </c>
      <c r="N10">
        <v>43</v>
      </c>
      <c r="O10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1" t="str">
        <f>IF(E11="","",VLOOKUP('OPĆI DIO'!$C$3,'OPĆI DIO'!$L$6:$U$138,10,FALSE))</f>
        <v>08006</v>
      </c>
      <c r="B11" s="81" t="str">
        <f>IF(E11="","",VLOOKUP('OPĆI DIO'!$C$3,'OPĆI DIO'!$L$6:$U$138,9,FALSE))</f>
        <v>Sveučilišta i veleučilišta u Republici Hrvatskoj</v>
      </c>
      <c r="C11" s="124">
        <f t="shared" si="0"/>
        <v>581</v>
      </c>
      <c r="D11" s="80" t="str">
        <f t="shared" si="1"/>
        <v>Mehanizam za oporavak i otpornost</v>
      </c>
      <c r="E11" s="89">
        <v>632410581</v>
      </c>
      <c r="F11" s="128" t="str">
        <f t="shared" si="2"/>
        <v>Kapitalne pom.od instit. tijela EU - Mehanizam za oporavak i otpornost</v>
      </c>
      <c r="G11" s="122">
        <v>3298657</v>
      </c>
      <c r="H11" s="122">
        <v>0</v>
      </c>
      <c r="I11" s="122">
        <v>0</v>
      </c>
      <c r="J11" s="89"/>
      <c r="L11" t="str">
        <f t="shared" si="3"/>
        <v>63</v>
      </c>
      <c r="M11" t="str">
        <f t="shared" si="4"/>
        <v>632</v>
      </c>
      <c r="N11">
        <v>51</v>
      </c>
      <c r="O11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1" t="str">
        <f>IF(E12="","",VLOOKUP('OPĆI DIO'!$C$3,'OPĆI DIO'!$L$6:$U$138,10,FALSE))</f>
        <v>08006</v>
      </c>
      <c r="B12" s="81" t="str">
        <f>IF(E12="","",VLOOKUP('OPĆI DIO'!$C$3,'OPĆI DIO'!$L$6:$U$138,9,FALSE))</f>
        <v>Sveučilišta i veleučilišta u Republici Hrvatskoj</v>
      </c>
      <c r="C12" s="124">
        <f t="shared" si="0"/>
        <v>576</v>
      </c>
      <c r="D12" s="80" t="str">
        <f t="shared" si="1"/>
        <v>Fond solidarnosti EU</v>
      </c>
      <c r="E12" s="89">
        <v>632415761</v>
      </c>
      <c r="F12" s="128" t="str">
        <f t="shared" si="2"/>
        <v>Kapitalne pomoći od institucija i tijela EU - Fond solidarnosti EU - potres ožujak 2020.</v>
      </c>
      <c r="G12" s="122">
        <v>2727866</v>
      </c>
      <c r="H12" s="122">
        <v>0</v>
      </c>
      <c r="I12" s="122">
        <v>0</v>
      </c>
      <c r="J12" s="89"/>
      <c r="L12" t="str">
        <f t="shared" si="3"/>
        <v>63</v>
      </c>
      <c r="M12" t="str">
        <f t="shared" si="4"/>
        <v>632</v>
      </c>
      <c r="N12">
        <v>52</v>
      </c>
      <c r="O12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1" t="str">
        <f>IF(E13="","",VLOOKUP('OPĆI DIO'!$C$3,'OPĆI DIO'!$L$6:$U$138,10,FALSE))</f>
        <v>08006</v>
      </c>
      <c r="B13" s="81" t="str">
        <f>IF(E13="","",VLOOKUP('OPĆI DIO'!$C$3,'OPĆI DIO'!$L$6:$U$138,9,FALSE))</f>
        <v>Sveučilišta i veleučilišta u Republici Hrvatskoj</v>
      </c>
      <c r="C13" s="124">
        <f t="shared" si="0"/>
        <v>576</v>
      </c>
      <c r="D13" s="80" t="str">
        <f t="shared" si="1"/>
        <v>Fond solidarnosti EU</v>
      </c>
      <c r="E13" s="89">
        <v>632415762</v>
      </c>
      <c r="F13" s="128" t="str">
        <f t="shared" si="2"/>
        <v>Kapitalne pomoći od institucija i tijela EU - Fond solidarnosti EU - potres prosinac 2020.</v>
      </c>
      <c r="G13" s="122">
        <v>2275520</v>
      </c>
      <c r="H13" s="122">
        <v>0</v>
      </c>
      <c r="I13" s="122">
        <v>0</v>
      </c>
      <c r="J13" s="89"/>
      <c r="L13" t="str">
        <f t="shared" si="3"/>
        <v>63</v>
      </c>
      <c r="M13" t="str">
        <f t="shared" si="4"/>
        <v>632</v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1" t="str">
        <f>IF(E14="","",VLOOKUP('OPĆI DIO'!$C$3,'OPĆI DIO'!$L$6:$U$138,10,FALSE))</f>
        <v>08006</v>
      </c>
      <c r="B14" s="81" t="str">
        <f>IF(E14="","",VLOOKUP('OPĆI DIO'!$C$3,'OPĆI DIO'!$L$6:$U$138,9,FALSE))</f>
        <v>Sveučilišta i veleučilišta u Republici Hrvatskoj</v>
      </c>
      <c r="C14" s="124">
        <f t="shared" si="0"/>
        <v>52</v>
      </c>
      <c r="D14" s="80" t="str">
        <f t="shared" si="1"/>
        <v xml:space="preserve">Ostale pomoći i darovnice </v>
      </c>
      <c r="E14" s="89">
        <v>6391</v>
      </c>
      <c r="F14" s="128" t="str">
        <f t="shared" si="2"/>
        <v>Tekući prijenosi između proračunskih korisnika istog proračuna</v>
      </c>
      <c r="G14" s="122">
        <v>25374</v>
      </c>
      <c r="H14" s="122">
        <v>11571</v>
      </c>
      <c r="I14" s="122">
        <v>0</v>
      </c>
      <c r="J14" s="288" t="s">
        <v>3539</v>
      </c>
      <c r="L14" t="str">
        <f t="shared" si="3"/>
        <v>63</v>
      </c>
      <c r="M14" t="str">
        <f t="shared" si="4"/>
        <v>639</v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1" t="str">
        <f>IF(E15="","",VLOOKUP('OPĆI DIO'!$C$3,'OPĆI DIO'!$L$6:$U$138,10,FALSE))</f>
        <v>08006</v>
      </c>
      <c r="B15" s="81" t="str">
        <f>IF(E15="","",VLOOKUP('OPĆI DIO'!$C$3,'OPĆI DIO'!$L$6:$U$138,9,FALSE))</f>
        <v>Sveučilišta i veleučilišta u Republici Hrvatskoj</v>
      </c>
      <c r="C15" s="124">
        <f t="shared" si="0"/>
        <v>51</v>
      </c>
      <c r="D15" s="80" t="str">
        <f t="shared" si="1"/>
        <v xml:space="preserve">Pomoći EU </v>
      </c>
      <c r="E15" s="89">
        <v>632311700</v>
      </c>
      <c r="F15" s="128" t="str">
        <f t="shared" si="2"/>
        <v>Tekuće pomoći od institucija i tijela EU - ostalo</v>
      </c>
      <c r="G15" s="122">
        <v>73860</v>
      </c>
      <c r="H15" s="122">
        <v>24930</v>
      </c>
      <c r="I15" s="122">
        <v>9381</v>
      </c>
      <c r="J15" s="89"/>
      <c r="L15" t="str">
        <f t="shared" si="3"/>
        <v>63</v>
      </c>
      <c r="M15" t="str">
        <f t="shared" si="4"/>
        <v>632</v>
      </c>
      <c r="N15">
        <v>561</v>
      </c>
      <c r="O15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1" t="str">
        <f>IF(E16="","",VLOOKUP('OPĆI DIO'!$C$3,'OPĆI DIO'!$L$6:$U$138,10,FALSE))</f>
        <v>08006</v>
      </c>
      <c r="B16" s="81" t="str">
        <f>IF(E16="","",VLOOKUP('OPĆI DIO'!$C$3,'OPĆI DIO'!$L$6:$U$138,9,FALSE))</f>
        <v>Sveučilišta i veleučilišta u Republici Hrvatskoj</v>
      </c>
      <c r="C16" s="124">
        <f t="shared" si="0"/>
        <v>52</v>
      </c>
      <c r="D16" s="80" t="str">
        <f t="shared" si="1"/>
        <v xml:space="preserve">Ostale pomoći i darovnice </v>
      </c>
      <c r="E16" s="89">
        <v>6391</v>
      </c>
      <c r="F16" s="128" t="str">
        <f t="shared" si="2"/>
        <v>Tekući prijenosi između proračunskih korisnika istog proračuna</v>
      </c>
      <c r="G16" s="122">
        <v>13272</v>
      </c>
      <c r="H16" s="122">
        <v>13272</v>
      </c>
      <c r="I16" s="122">
        <v>13272</v>
      </c>
      <c r="J16" s="288" t="s">
        <v>398</v>
      </c>
      <c r="L16" t="str">
        <f t="shared" si="3"/>
        <v>63</v>
      </c>
      <c r="M16" t="str">
        <f t="shared" si="4"/>
        <v>639</v>
      </c>
      <c r="N16">
        <v>563</v>
      </c>
      <c r="O16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1" t="str">
        <f>IF(E17="","",VLOOKUP('OPĆI DIO'!$C$3,'OPĆI DIO'!$L$6:$U$138,10,FALSE))</f>
        <v/>
      </c>
      <c r="B17" s="81" t="str">
        <f>IF(E17="","",VLOOKUP('OPĆI DIO'!$C$3,'OPĆI DIO'!$L$6:$U$138,9,FALSE))</f>
        <v/>
      </c>
      <c r="C17" s="124" t="str">
        <f t="shared" si="0"/>
        <v/>
      </c>
      <c r="D17" s="80" t="str">
        <f t="shared" si="1"/>
        <v/>
      </c>
      <c r="E17" s="89"/>
      <c r="F17" s="128" t="str">
        <f t="shared" si="2"/>
        <v/>
      </c>
      <c r="G17" s="122"/>
      <c r="H17" s="122"/>
      <c r="I17" s="122"/>
      <c r="J17" s="89"/>
      <c r="L17" t="str">
        <f t="shared" si="3"/>
        <v/>
      </c>
      <c r="M17" t="str">
        <f t="shared" si="4"/>
        <v/>
      </c>
      <c r="N17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1" t="str">
        <f>IF(E18="","",VLOOKUP('OPĆI DIO'!$C$3,'OPĆI DIO'!$L$6:$U$138,10,FALSE))</f>
        <v/>
      </c>
      <c r="B18" s="81" t="str">
        <f>IF(E18="","",VLOOKUP('OPĆI DIO'!$C$3,'OPĆI DIO'!$L$6:$U$138,9,FALSE))</f>
        <v/>
      </c>
      <c r="C18" s="124" t="str">
        <f t="shared" si="0"/>
        <v/>
      </c>
      <c r="D18" s="80" t="str">
        <f t="shared" si="1"/>
        <v/>
      </c>
      <c r="E18" s="89"/>
      <c r="F18" s="128" t="str">
        <f t="shared" si="2"/>
        <v/>
      </c>
      <c r="G18" s="122"/>
      <c r="H18" s="122"/>
      <c r="I18" s="122"/>
      <c r="J18" s="89"/>
      <c r="L18" t="str">
        <f t="shared" si="3"/>
        <v/>
      </c>
      <c r="M18" t="str">
        <f t="shared" si="4"/>
        <v/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1" t="str">
        <f>IF(E19="","",VLOOKUP('OPĆI DIO'!$C$3,'OPĆI DIO'!$L$6:$U$138,10,FALSE))</f>
        <v/>
      </c>
      <c r="B19" s="81" t="str">
        <f>IF(E19="","",VLOOKUP('OPĆI DIO'!$C$3,'OPĆI DIO'!$L$6:$U$138,9,FALSE))</f>
        <v/>
      </c>
      <c r="C19" s="124" t="str">
        <f t="shared" si="0"/>
        <v/>
      </c>
      <c r="D19" s="80" t="str">
        <f t="shared" si="1"/>
        <v/>
      </c>
      <c r="E19" s="89"/>
      <c r="F19" s="128" t="str">
        <f t="shared" si="2"/>
        <v/>
      </c>
      <c r="G19" s="122"/>
      <c r="H19" s="122"/>
      <c r="I19" s="122"/>
      <c r="J19" s="89"/>
      <c r="L19" t="str">
        <f t="shared" si="3"/>
        <v/>
      </c>
      <c r="M19" t="str">
        <f t="shared" si="4"/>
        <v/>
      </c>
      <c r="N19" s="187">
        <v>5761</v>
      </c>
      <c r="O19" s="143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1" t="str">
        <f>IF(E20="","",VLOOKUP('OPĆI DIO'!$C$3,'OPĆI DIO'!$L$6:$U$138,10,FALSE))</f>
        <v/>
      </c>
      <c r="B20" s="81" t="str">
        <f>IF(E20="","",VLOOKUP('OPĆI DIO'!$C$3,'OPĆI DIO'!$L$6:$U$138,9,FALSE))</f>
        <v/>
      </c>
      <c r="C20" s="124" t="str">
        <f t="shared" si="0"/>
        <v/>
      </c>
      <c r="D20" s="80" t="str">
        <f t="shared" si="1"/>
        <v/>
      </c>
      <c r="E20" s="89"/>
      <c r="F20" s="128" t="str">
        <f t="shared" si="2"/>
        <v/>
      </c>
      <c r="G20" s="122"/>
      <c r="H20" s="122"/>
      <c r="I20" s="122"/>
      <c r="J20" s="89"/>
      <c r="L20" t="str">
        <f t="shared" si="3"/>
        <v/>
      </c>
      <c r="M20" t="str">
        <f t="shared" si="4"/>
        <v/>
      </c>
      <c r="N20" s="187">
        <v>5762</v>
      </c>
      <c r="O20" s="143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1" t="str">
        <f>IF(E21="","",VLOOKUP('OPĆI DIO'!$C$3,'OPĆI DIO'!$L$6:$U$138,10,FALSE))</f>
        <v/>
      </c>
      <c r="B21" s="81" t="str">
        <f>IF(E21="","",VLOOKUP('OPĆI DIO'!$C$3,'OPĆI DIO'!$L$6:$U$138,9,FALSE))</f>
        <v/>
      </c>
      <c r="C21" s="124" t="str">
        <f t="shared" si="0"/>
        <v/>
      </c>
      <c r="D21" s="80" t="str">
        <f t="shared" si="1"/>
        <v/>
      </c>
      <c r="E21" s="89"/>
      <c r="F21" s="128" t="str">
        <f t="shared" si="2"/>
        <v/>
      </c>
      <c r="G21" s="122"/>
      <c r="H21" s="122"/>
      <c r="I21" s="122"/>
      <c r="J21" s="89"/>
      <c r="L21" t="str">
        <f t="shared" si="3"/>
        <v/>
      </c>
      <c r="M21" t="str">
        <f t="shared" si="4"/>
        <v/>
      </c>
      <c r="N21">
        <v>581</v>
      </c>
      <c r="O21" s="168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1" t="str">
        <f>IF(E22="","",VLOOKUP('OPĆI DIO'!$C$3,'OPĆI DIO'!$L$6:$U$138,10,FALSE))</f>
        <v/>
      </c>
      <c r="B22" s="81" t="str">
        <f>IF(E22="","",VLOOKUP('OPĆI DIO'!$C$3,'OPĆI DIO'!$L$6:$U$138,9,FALSE))</f>
        <v/>
      </c>
      <c r="C22" s="124" t="str">
        <f t="shared" si="0"/>
        <v/>
      </c>
      <c r="D22" s="80" t="str">
        <f t="shared" si="1"/>
        <v/>
      </c>
      <c r="E22" s="89"/>
      <c r="F22" s="128" t="str">
        <f t="shared" si="2"/>
        <v/>
      </c>
      <c r="G22" s="122"/>
      <c r="H22" s="122"/>
      <c r="I22" s="122"/>
      <c r="J22" s="89"/>
      <c r="L22" t="str">
        <f t="shared" si="3"/>
        <v/>
      </c>
      <c r="M22" t="str">
        <f t="shared" si="4"/>
        <v/>
      </c>
      <c r="N22">
        <v>61</v>
      </c>
      <c r="O22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1" t="str">
        <f>IF(E23="","",VLOOKUP('OPĆI DIO'!$C$3,'OPĆI DIO'!$L$6:$U$138,10,FALSE))</f>
        <v/>
      </c>
      <c r="B23" s="81" t="str">
        <f>IF(E23="","",VLOOKUP('OPĆI DIO'!$C$3,'OPĆI DIO'!$L$6:$U$138,9,FALSE))</f>
        <v/>
      </c>
      <c r="C23" s="124" t="str">
        <f t="shared" si="0"/>
        <v/>
      </c>
      <c r="D23" s="80" t="str">
        <f t="shared" si="1"/>
        <v/>
      </c>
      <c r="E23" s="89"/>
      <c r="F23" s="128" t="str">
        <f t="shared" si="2"/>
        <v/>
      </c>
      <c r="G23" s="122"/>
      <c r="H23" s="122"/>
      <c r="I23" s="122"/>
      <c r="J23" s="89"/>
      <c r="L23" t="str">
        <f t="shared" si="3"/>
        <v/>
      </c>
      <c r="M23" t="str">
        <f t="shared" si="4"/>
        <v/>
      </c>
      <c r="N23" s="185">
        <v>63</v>
      </c>
      <c r="O23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1" t="str">
        <f>IF(E24="","",VLOOKUP('OPĆI DIO'!$C$3,'OPĆI DIO'!$L$6:$U$138,10,FALSE))</f>
        <v/>
      </c>
      <c r="B24" s="81" t="str">
        <f>IF(E24="","",VLOOKUP('OPĆI DIO'!$C$3,'OPĆI DIO'!$L$6:$U$138,9,FALSE))</f>
        <v/>
      </c>
      <c r="C24" s="124" t="str">
        <f t="shared" si="0"/>
        <v/>
      </c>
      <c r="D24" s="80" t="str">
        <f t="shared" si="1"/>
        <v/>
      </c>
      <c r="E24" s="89"/>
      <c r="F24" s="128" t="str">
        <f t="shared" si="2"/>
        <v/>
      </c>
      <c r="G24" s="122"/>
      <c r="H24" s="122"/>
      <c r="I24" s="122"/>
      <c r="J24" s="89"/>
      <c r="L24" t="str">
        <f t="shared" si="3"/>
        <v/>
      </c>
      <c r="M24" t="str">
        <f t="shared" si="4"/>
        <v/>
      </c>
      <c r="N24">
        <v>71</v>
      </c>
      <c r="O24" t="s">
        <v>173</v>
      </c>
      <c r="R24" s="186">
        <v>632315761</v>
      </c>
      <c r="S24" s="186" t="s">
        <v>1783</v>
      </c>
      <c r="T24" s="186">
        <v>576</v>
      </c>
      <c r="U24" s="186" t="s">
        <v>1704</v>
      </c>
      <c r="V24">
        <v>632</v>
      </c>
      <c r="W24">
        <v>63</v>
      </c>
    </row>
    <row r="25" spans="1:23">
      <c r="A25" s="81" t="str">
        <f>IF(E25="","",VLOOKUP('OPĆI DIO'!$C$3,'OPĆI DIO'!$L$6:$U$138,10,FALSE))</f>
        <v/>
      </c>
      <c r="B25" s="81" t="str">
        <f>IF(E25="","",VLOOKUP('OPĆI DIO'!$C$3,'OPĆI DIO'!$L$6:$U$138,9,FALSE))</f>
        <v/>
      </c>
      <c r="C25" s="124" t="str">
        <f t="shared" si="0"/>
        <v/>
      </c>
      <c r="D25" s="80" t="str">
        <f t="shared" si="1"/>
        <v/>
      </c>
      <c r="E25" s="89"/>
      <c r="F25" s="128" t="str">
        <f t="shared" si="2"/>
        <v/>
      </c>
      <c r="G25" s="122"/>
      <c r="H25" s="122"/>
      <c r="I25" s="122"/>
      <c r="J25" s="89"/>
      <c r="L25" t="str">
        <f t="shared" si="3"/>
        <v/>
      </c>
      <c r="M25" t="str">
        <f t="shared" si="4"/>
        <v/>
      </c>
      <c r="N25">
        <v>81</v>
      </c>
      <c r="O25" t="s">
        <v>56</v>
      </c>
      <c r="R25" s="186">
        <v>632315762</v>
      </c>
      <c r="S25" s="186" t="s">
        <v>3535</v>
      </c>
      <c r="T25" s="186">
        <v>576</v>
      </c>
      <c r="U25" s="186" t="s">
        <v>1704</v>
      </c>
      <c r="V25">
        <v>632</v>
      </c>
      <c r="W25">
        <v>63</v>
      </c>
    </row>
    <row r="26" spans="1:23">
      <c r="A26" s="81" t="str">
        <f>IF(E26="","",VLOOKUP('OPĆI DIO'!$C$3,'OPĆI DIO'!$L$6:$U$138,10,FALSE))</f>
        <v/>
      </c>
      <c r="B26" s="81" t="str">
        <f>IF(E26="","",VLOOKUP('OPĆI DIO'!$C$3,'OPĆI DIO'!$L$6:$U$138,9,FALSE))</f>
        <v/>
      </c>
      <c r="C26" s="124" t="str">
        <f t="shared" si="0"/>
        <v/>
      </c>
      <c r="D26" s="80" t="str">
        <f t="shared" si="1"/>
        <v/>
      </c>
      <c r="E26" s="89"/>
      <c r="F26" s="128" t="str">
        <f t="shared" si="2"/>
        <v/>
      </c>
      <c r="G26" s="122"/>
      <c r="H26" s="122"/>
      <c r="I26" s="122"/>
      <c r="J26" s="89"/>
      <c r="L26" t="str">
        <f t="shared" si="3"/>
        <v/>
      </c>
      <c r="M26" t="str">
        <f t="shared" si="4"/>
        <v/>
      </c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1" t="str">
        <f>IF(E27="","",VLOOKUP('OPĆI DIO'!$C$3,'OPĆI DIO'!$L$6:$U$138,10,FALSE))</f>
        <v/>
      </c>
      <c r="B27" s="81" t="str">
        <f>IF(E27="","",VLOOKUP('OPĆI DIO'!$C$3,'OPĆI DIO'!$L$6:$U$138,9,FALSE))</f>
        <v/>
      </c>
      <c r="C27" s="124" t="str">
        <f t="shared" si="0"/>
        <v/>
      </c>
      <c r="D27" s="80" t="str">
        <f t="shared" si="1"/>
        <v/>
      </c>
      <c r="E27" s="89"/>
      <c r="F27" s="128" t="str">
        <f t="shared" si="2"/>
        <v/>
      </c>
      <c r="G27" s="122"/>
      <c r="H27" s="122"/>
      <c r="I27" s="122"/>
      <c r="J27" s="89"/>
      <c r="L27" t="str">
        <f t="shared" si="3"/>
        <v/>
      </c>
      <c r="M27" t="str">
        <f t="shared" si="4"/>
        <v/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1" t="str">
        <f>IF(E28="","",VLOOKUP('OPĆI DIO'!$C$3,'OPĆI DIO'!$L$6:$U$138,10,FALSE))</f>
        <v/>
      </c>
      <c r="B28" s="81" t="str">
        <f>IF(E28="","",VLOOKUP('OPĆI DIO'!$C$3,'OPĆI DIO'!$L$6:$U$138,9,FALSE))</f>
        <v/>
      </c>
      <c r="C28" s="124" t="str">
        <f t="shared" si="0"/>
        <v/>
      </c>
      <c r="D28" s="80" t="str">
        <f t="shared" si="1"/>
        <v/>
      </c>
      <c r="E28" s="89"/>
      <c r="F28" s="128" t="str">
        <f t="shared" si="2"/>
        <v/>
      </c>
      <c r="G28" s="122"/>
      <c r="H28" s="122"/>
      <c r="I28" s="122"/>
      <c r="J28" s="89"/>
      <c r="L28" t="str">
        <f t="shared" si="3"/>
        <v/>
      </c>
      <c r="M28" t="str">
        <f t="shared" si="4"/>
        <v/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1" t="str">
        <f>IF(E29="","",VLOOKUP('OPĆI DIO'!$C$3,'OPĆI DIO'!$L$6:$U$138,10,FALSE))</f>
        <v/>
      </c>
      <c r="B29" s="81" t="str">
        <f>IF(E29="","",VLOOKUP('OPĆI DIO'!$C$3,'OPĆI DIO'!$L$6:$U$138,9,FALSE))</f>
        <v/>
      </c>
      <c r="C29" s="124" t="str">
        <f t="shared" si="0"/>
        <v/>
      </c>
      <c r="D29" s="80" t="str">
        <f t="shared" si="1"/>
        <v/>
      </c>
      <c r="E29" s="89"/>
      <c r="F29" s="128" t="str">
        <f t="shared" si="2"/>
        <v/>
      </c>
      <c r="G29" s="122"/>
      <c r="H29" s="122"/>
      <c r="I29" s="122"/>
      <c r="J29" s="89"/>
      <c r="L29" t="str">
        <f t="shared" si="3"/>
        <v/>
      </c>
      <c r="M29" t="str">
        <f t="shared" si="4"/>
        <v/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1" t="str">
        <f>IF(E30="","",VLOOKUP('OPĆI DIO'!$C$3,'OPĆI DIO'!$L$6:$U$138,10,FALSE))</f>
        <v/>
      </c>
      <c r="B30" s="81" t="str">
        <f>IF(E30="","",VLOOKUP('OPĆI DIO'!$C$3,'OPĆI DIO'!$L$6:$U$138,9,FALSE))</f>
        <v/>
      </c>
      <c r="C30" s="124" t="str">
        <f t="shared" si="0"/>
        <v/>
      </c>
      <c r="D30" s="80" t="str">
        <f t="shared" si="1"/>
        <v/>
      </c>
      <c r="E30" s="89"/>
      <c r="F30" s="128" t="str">
        <f t="shared" si="2"/>
        <v/>
      </c>
      <c r="G30" s="122"/>
      <c r="H30" s="122"/>
      <c r="I30" s="122"/>
      <c r="J30" s="89"/>
      <c r="L30" t="str">
        <f t="shared" si="3"/>
        <v/>
      </c>
      <c r="M30" t="str">
        <f t="shared" si="4"/>
        <v/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1" t="str">
        <f>IF(E31="","",VLOOKUP('OPĆI DIO'!$C$3,'OPĆI DIO'!$L$6:$U$138,10,FALSE))</f>
        <v/>
      </c>
      <c r="B31" s="81" t="str">
        <f>IF(E31="","",VLOOKUP('OPĆI DIO'!$C$3,'OPĆI DIO'!$L$6:$U$138,9,FALSE))</f>
        <v/>
      </c>
      <c r="C31" s="124" t="str">
        <f>IFERROR(VLOOKUP(E31,$R$6:$U$108,3,FALSE),"")</f>
        <v/>
      </c>
      <c r="D31" s="80" t="str">
        <f t="shared" si="1"/>
        <v/>
      </c>
      <c r="E31" s="89"/>
      <c r="F31" s="128" t="str">
        <f t="shared" si="2"/>
        <v/>
      </c>
      <c r="G31" s="122"/>
      <c r="H31" s="122"/>
      <c r="I31" s="122"/>
      <c r="J31" s="89"/>
      <c r="L31" t="str">
        <f t="shared" si="3"/>
        <v/>
      </c>
      <c r="M31" t="str">
        <f t="shared" si="4"/>
        <v/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1" t="str">
        <f>IF(E32="","",VLOOKUP('OPĆI DIO'!$C$3,'OPĆI DIO'!$L$6:$U$138,10,FALSE))</f>
        <v/>
      </c>
      <c r="B32" s="81" t="str">
        <f>IF(E32="","",VLOOKUP('OPĆI DIO'!$C$3,'OPĆI DIO'!$L$6:$U$138,9,FALSE))</f>
        <v/>
      </c>
      <c r="C32" s="124" t="str">
        <f t="shared" si="0"/>
        <v/>
      </c>
      <c r="D32" s="80" t="str">
        <f t="shared" si="1"/>
        <v/>
      </c>
      <c r="E32" s="89"/>
      <c r="F32" s="128" t="str">
        <f t="shared" si="2"/>
        <v/>
      </c>
      <c r="G32" s="122"/>
      <c r="H32" s="122"/>
      <c r="I32" s="122"/>
      <c r="J32" s="89"/>
      <c r="L32" t="str">
        <f t="shared" si="3"/>
        <v/>
      </c>
      <c r="M32" t="str">
        <f t="shared" si="4"/>
        <v/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1" t="str">
        <f>IF(E33="","",VLOOKUP('OPĆI DIO'!$C$3,'OPĆI DIO'!$L$6:$U$138,10,FALSE))</f>
        <v/>
      </c>
      <c r="B33" s="81" t="str">
        <f>IF(E33="","",VLOOKUP('OPĆI DIO'!$C$3,'OPĆI DIO'!$L$6:$U$138,9,FALSE))</f>
        <v/>
      </c>
      <c r="C33" s="124" t="str">
        <f t="shared" si="0"/>
        <v/>
      </c>
      <c r="D33" s="80" t="str">
        <f t="shared" si="1"/>
        <v/>
      </c>
      <c r="E33" s="89"/>
      <c r="F33" s="128" t="str">
        <f t="shared" si="2"/>
        <v/>
      </c>
      <c r="G33" s="122"/>
      <c r="H33" s="122"/>
      <c r="I33" s="122"/>
      <c r="J33" s="89"/>
      <c r="L33" t="str">
        <f t="shared" si="3"/>
        <v/>
      </c>
      <c r="M33" t="str">
        <f t="shared" si="4"/>
        <v/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1" t="str">
        <f>IF(E34="","",VLOOKUP('OPĆI DIO'!$C$3,'OPĆI DIO'!$L$6:$U$138,10,FALSE))</f>
        <v/>
      </c>
      <c r="B34" s="81" t="str">
        <f>IF(E34="","",VLOOKUP('OPĆI DIO'!$C$3,'OPĆI DIO'!$L$6:$U$138,9,FALSE))</f>
        <v/>
      </c>
      <c r="C34" s="124" t="str">
        <f t="shared" si="0"/>
        <v/>
      </c>
      <c r="D34" s="80" t="str">
        <f t="shared" si="1"/>
        <v/>
      </c>
      <c r="E34" s="89"/>
      <c r="F34" s="128" t="str">
        <f t="shared" si="2"/>
        <v/>
      </c>
      <c r="G34" s="122"/>
      <c r="H34" s="122"/>
      <c r="I34" s="122"/>
      <c r="J34" s="89"/>
      <c r="L34" t="str">
        <f t="shared" si="3"/>
        <v/>
      </c>
      <c r="M34" t="str">
        <f t="shared" si="4"/>
        <v/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1" t="str">
        <f>IF(E35="","",VLOOKUP('OPĆI DIO'!$C$3,'OPĆI DIO'!$L$6:$U$138,10,FALSE))</f>
        <v/>
      </c>
      <c r="B35" s="81" t="str">
        <f>IF(E35="","",VLOOKUP('OPĆI DIO'!$C$3,'OPĆI DIO'!$L$6:$U$138,9,FALSE))</f>
        <v/>
      </c>
      <c r="C35" s="124" t="str">
        <f t="shared" si="0"/>
        <v/>
      </c>
      <c r="D35" s="80" t="str">
        <f t="shared" si="1"/>
        <v/>
      </c>
      <c r="E35" s="89"/>
      <c r="F35" s="128" t="str">
        <f t="shared" si="2"/>
        <v/>
      </c>
      <c r="G35" s="122"/>
      <c r="H35" s="122"/>
      <c r="I35" s="122"/>
      <c r="J35" s="89"/>
      <c r="L35" t="str">
        <f t="shared" si="3"/>
        <v/>
      </c>
      <c r="M35" t="str">
        <f t="shared" si="4"/>
        <v/>
      </c>
      <c r="R35" s="186">
        <v>632415761</v>
      </c>
      <c r="S35" s="186" t="s">
        <v>1784</v>
      </c>
      <c r="T35" s="186">
        <v>576</v>
      </c>
      <c r="U35" s="186" t="s">
        <v>1704</v>
      </c>
      <c r="V35">
        <v>632</v>
      </c>
      <c r="W35">
        <v>63</v>
      </c>
    </row>
    <row r="36" spans="1:23">
      <c r="A36" s="81" t="str">
        <f>IF(E36="","",VLOOKUP('OPĆI DIO'!$C$3,'OPĆI DIO'!$L$6:$U$138,10,FALSE))</f>
        <v/>
      </c>
      <c r="B36" s="81" t="str">
        <f>IF(E36="","",VLOOKUP('OPĆI DIO'!$C$3,'OPĆI DIO'!$L$6:$U$138,9,FALSE))</f>
        <v/>
      </c>
      <c r="C36" s="124" t="str">
        <f t="shared" si="0"/>
        <v/>
      </c>
      <c r="D36" s="80" t="str">
        <f t="shared" si="1"/>
        <v/>
      </c>
      <c r="E36" s="89"/>
      <c r="F36" s="128" t="str">
        <f t="shared" si="2"/>
        <v/>
      </c>
      <c r="G36" s="122"/>
      <c r="H36" s="122"/>
      <c r="I36" s="122"/>
      <c r="J36" s="89"/>
      <c r="L36" t="str">
        <f t="shared" si="3"/>
        <v/>
      </c>
      <c r="M36" t="str">
        <f t="shared" si="4"/>
        <v/>
      </c>
      <c r="R36" s="186">
        <v>632415762</v>
      </c>
      <c r="S36" s="186" t="s">
        <v>3536</v>
      </c>
      <c r="T36" s="186">
        <v>576</v>
      </c>
      <c r="U36" s="186" t="s">
        <v>1704</v>
      </c>
      <c r="V36">
        <v>632</v>
      </c>
      <c r="W36">
        <v>63</v>
      </c>
    </row>
    <row r="37" spans="1:23">
      <c r="A37" s="81" t="str">
        <f>IF(E37="","",VLOOKUP('OPĆI DIO'!$C$3,'OPĆI DIO'!$L$6:$U$138,10,FALSE))</f>
        <v/>
      </c>
      <c r="B37" s="81" t="str">
        <f>IF(E37="","",VLOOKUP('OPĆI DIO'!$C$3,'OPĆI DIO'!$L$6:$U$138,9,FALSE))</f>
        <v/>
      </c>
      <c r="C37" s="124" t="str">
        <f t="shared" si="0"/>
        <v/>
      </c>
      <c r="D37" s="80" t="str">
        <f t="shared" si="1"/>
        <v/>
      </c>
      <c r="E37" s="89"/>
      <c r="F37" s="128" t="str">
        <f t="shared" si="2"/>
        <v/>
      </c>
      <c r="G37" s="122"/>
      <c r="H37" s="122"/>
      <c r="I37" s="122"/>
      <c r="J37" s="89"/>
      <c r="L37" t="str">
        <f t="shared" si="3"/>
        <v/>
      </c>
      <c r="M37" t="str">
        <f t="shared" si="4"/>
        <v/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1" t="str">
        <f>IF(E38="","",VLOOKUP('OPĆI DIO'!$C$3,'OPĆI DIO'!$L$6:$U$138,10,FALSE))</f>
        <v/>
      </c>
      <c r="B38" s="81" t="str">
        <f>IF(E38="","",VLOOKUP('OPĆI DIO'!$C$3,'OPĆI DIO'!$L$6:$U$138,9,FALSE))</f>
        <v/>
      </c>
      <c r="C38" s="124" t="str">
        <f t="shared" si="0"/>
        <v/>
      </c>
      <c r="D38" s="80" t="str">
        <f t="shared" si="1"/>
        <v/>
      </c>
      <c r="E38" s="89"/>
      <c r="F38" s="128" t="str">
        <f t="shared" si="2"/>
        <v/>
      </c>
      <c r="G38" s="122"/>
      <c r="H38" s="122"/>
      <c r="I38" s="122"/>
      <c r="J38" s="89"/>
      <c r="L38" t="str">
        <f t="shared" si="3"/>
        <v/>
      </c>
      <c r="M38" t="str">
        <f t="shared" si="4"/>
        <v/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1" t="str">
        <f>IF(E39="","",VLOOKUP('OPĆI DIO'!$C$3,'OPĆI DIO'!$L$6:$U$138,10,FALSE))</f>
        <v/>
      </c>
      <c r="B39" s="81" t="str">
        <f>IF(E39="","",VLOOKUP('OPĆI DIO'!$C$3,'OPĆI DIO'!$L$6:$U$138,9,FALSE))</f>
        <v/>
      </c>
      <c r="C39" s="124" t="str">
        <f t="shared" si="0"/>
        <v/>
      </c>
      <c r="D39" s="80" t="str">
        <f t="shared" si="1"/>
        <v/>
      </c>
      <c r="E39" s="89"/>
      <c r="F39" s="128" t="str">
        <f t="shared" si="2"/>
        <v/>
      </c>
      <c r="G39" s="122"/>
      <c r="H39" s="122"/>
      <c r="I39" s="122"/>
      <c r="J39" s="89"/>
      <c r="K39" s="281"/>
      <c r="L39" t="str">
        <f t="shared" si="3"/>
        <v/>
      </c>
      <c r="M39" s="281">
        <f>+G11+G12+G37</f>
        <v>6026523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1" t="str">
        <f>IF(E40="","",VLOOKUP('OPĆI DIO'!$C$3,'OPĆI DIO'!$L$6:$U$138,10,FALSE))</f>
        <v/>
      </c>
      <c r="B40" s="81" t="str">
        <f>IF(E40="","",VLOOKUP('OPĆI DIO'!$C$3,'OPĆI DIO'!$L$6:$U$138,9,FALSE))</f>
        <v/>
      </c>
      <c r="C40" s="124" t="str">
        <f t="shared" si="0"/>
        <v/>
      </c>
      <c r="D40" s="80" t="str">
        <f t="shared" si="1"/>
        <v/>
      </c>
      <c r="E40" s="89"/>
      <c r="F40" s="128" t="str">
        <f t="shared" si="2"/>
        <v/>
      </c>
      <c r="G40" s="122"/>
      <c r="H40" s="122"/>
      <c r="I40" s="122"/>
      <c r="J40" s="89"/>
      <c r="L40" t="str">
        <f t="shared" si="3"/>
        <v/>
      </c>
      <c r="M40" t="str">
        <f t="shared" si="4"/>
        <v/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1" t="str">
        <f>IF(E41="","",VLOOKUP('OPĆI DIO'!$C$3,'OPĆI DIO'!$L$6:$U$138,10,FALSE))</f>
        <v/>
      </c>
      <c r="B41" s="81" t="str">
        <f>IF(E41="","",VLOOKUP('OPĆI DIO'!$C$3,'OPĆI DIO'!$L$6:$U$138,9,FALSE))</f>
        <v/>
      </c>
      <c r="C41" s="124" t="str">
        <f t="shared" si="0"/>
        <v/>
      </c>
      <c r="D41" s="80" t="str">
        <f t="shared" si="1"/>
        <v/>
      </c>
      <c r="E41" s="89"/>
      <c r="F41" s="128" t="str">
        <f t="shared" si="2"/>
        <v/>
      </c>
      <c r="G41" s="122"/>
      <c r="H41" s="122"/>
      <c r="I41" s="122"/>
      <c r="J41" s="89"/>
      <c r="L41" t="str">
        <f t="shared" si="3"/>
        <v/>
      </c>
      <c r="M41" t="str">
        <f t="shared" si="4"/>
        <v/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1" t="str">
        <f>IF(E42="","",VLOOKUP('OPĆI DIO'!$C$3,'OPĆI DIO'!$L$6:$U$138,10,FALSE))</f>
        <v/>
      </c>
      <c r="B42" s="81" t="str">
        <f>IF(E42="","",VLOOKUP('OPĆI DIO'!$C$3,'OPĆI DIO'!$L$6:$U$138,9,FALSE))</f>
        <v/>
      </c>
      <c r="C42" s="124" t="str">
        <f t="shared" si="0"/>
        <v/>
      </c>
      <c r="D42" s="80" t="str">
        <f t="shared" si="1"/>
        <v/>
      </c>
      <c r="E42" s="89"/>
      <c r="F42" s="128" t="str">
        <f t="shared" si="2"/>
        <v/>
      </c>
      <c r="G42" s="122"/>
      <c r="H42" s="122"/>
      <c r="I42" s="122"/>
      <c r="J42" s="89"/>
      <c r="L42" t="str">
        <f t="shared" si="3"/>
        <v/>
      </c>
      <c r="M42" t="str">
        <f t="shared" si="4"/>
        <v/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1" t="str">
        <f>IF(E43="","",VLOOKUP('OPĆI DIO'!$C$3,'OPĆI DIO'!$L$6:$U$138,10,FALSE))</f>
        <v/>
      </c>
      <c r="B43" s="81" t="str">
        <f>IF(E43="","",VLOOKUP('OPĆI DIO'!$C$3,'OPĆI DIO'!$L$6:$U$138,9,FALSE))</f>
        <v/>
      </c>
      <c r="C43" s="124" t="str">
        <f t="shared" si="0"/>
        <v/>
      </c>
      <c r="D43" s="80" t="str">
        <f t="shared" si="1"/>
        <v/>
      </c>
      <c r="E43" s="89"/>
      <c r="F43" s="128" t="str">
        <f t="shared" si="2"/>
        <v/>
      </c>
      <c r="G43" s="122"/>
      <c r="H43" s="122"/>
      <c r="I43" s="122"/>
      <c r="J43" s="89"/>
      <c r="L43" t="str">
        <f t="shared" si="3"/>
        <v/>
      </c>
      <c r="M43" t="str">
        <f t="shared" si="4"/>
        <v/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1" t="str">
        <f>IF(E44="","",VLOOKUP('OPĆI DIO'!$C$3,'OPĆI DIO'!$L$6:$U$138,10,FALSE))</f>
        <v/>
      </c>
      <c r="B44" s="81" t="str">
        <f>IF(E44="","",VLOOKUP('OPĆI DIO'!$C$3,'OPĆI DIO'!$L$6:$U$138,9,FALSE))</f>
        <v/>
      </c>
      <c r="C44" s="124" t="str">
        <f t="shared" si="0"/>
        <v/>
      </c>
      <c r="D44" s="80" t="str">
        <f t="shared" si="1"/>
        <v/>
      </c>
      <c r="E44" s="89"/>
      <c r="F44" s="128" t="str">
        <f t="shared" si="2"/>
        <v/>
      </c>
      <c r="G44" s="122"/>
      <c r="H44" s="122"/>
      <c r="I44" s="122"/>
      <c r="J44" s="89"/>
      <c r="L44" t="str">
        <f t="shared" si="3"/>
        <v/>
      </c>
      <c r="M44" t="str">
        <f t="shared" si="4"/>
        <v/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1" t="str">
        <f>IF(E45="","",VLOOKUP('OPĆI DIO'!$C$3,'OPĆI DIO'!$L$6:$U$138,10,FALSE))</f>
        <v/>
      </c>
      <c r="B45" s="81" t="str">
        <f>IF(E45="","",VLOOKUP('OPĆI DIO'!$C$3,'OPĆI DIO'!$L$6:$U$138,9,FALSE))</f>
        <v/>
      </c>
      <c r="C45" s="124" t="str">
        <f t="shared" si="0"/>
        <v/>
      </c>
      <c r="D45" s="80" t="str">
        <f t="shared" si="1"/>
        <v/>
      </c>
      <c r="E45" s="89"/>
      <c r="F45" s="128" t="str">
        <f t="shared" si="2"/>
        <v/>
      </c>
      <c r="G45" s="122"/>
      <c r="H45" s="122"/>
      <c r="I45" s="122"/>
      <c r="J45" s="89"/>
      <c r="L45" t="str">
        <f t="shared" si="3"/>
        <v/>
      </c>
      <c r="M45" t="str">
        <f t="shared" si="4"/>
        <v/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1" t="str">
        <f>IF(E46="","",VLOOKUP('OPĆI DIO'!$C$3,'OPĆI DIO'!$L$6:$U$138,10,FALSE))</f>
        <v/>
      </c>
      <c r="B46" s="81" t="str">
        <f>IF(E46="","",VLOOKUP('OPĆI DIO'!$C$3,'OPĆI DIO'!$L$6:$U$138,9,FALSE))</f>
        <v/>
      </c>
      <c r="C46" s="124" t="str">
        <f t="shared" si="0"/>
        <v/>
      </c>
      <c r="D46" s="80" t="str">
        <f t="shared" si="1"/>
        <v/>
      </c>
      <c r="E46" s="89"/>
      <c r="F46" s="128" t="str">
        <f t="shared" si="2"/>
        <v/>
      </c>
      <c r="G46" s="122"/>
      <c r="H46" s="122"/>
      <c r="I46" s="122"/>
      <c r="J46" s="89"/>
      <c r="L46" t="str">
        <f t="shared" si="3"/>
        <v/>
      </c>
      <c r="M46" t="str">
        <f t="shared" si="4"/>
        <v/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1" t="str">
        <f>IF(E47="","",VLOOKUP('OPĆI DIO'!$C$3,'OPĆI DIO'!$L$6:$U$138,10,FALSE))</f>
        <v/>
      </c>
      <c r="B47" s="81" t="str">
        <f>IF(E47="","",VLOOKUP('OPĆI DIO'!$C$3,'OPĆI DIO'!$L$6:$U$138,9,FALSE))</f>
        <v/>
      </c>
      <c r="C47" s="124" t="str">
        <f t="shared" si="0"/>
        <v/>
      </c>
      <c r="D47" s="80" t="str">
        <f t="shared" si="1"/>
        <v/>
      </c>
      <c r="E47" s="89"/>
      <c r="F47" s="128" t="str">
        <f t="shared" si="2"/>
        <v/>
      </c>
      <c r="G47" s="122"/>
      <c r="H47" s="122"/>
      <c r="I47" s="122"/>
      <c r="J47" s="89"/>
      <c r="L47" t="str">
        <f t="shared" si="3"/>
        <v/>
      </c>
      <c r="M47" t="str">
        <f t="shared" si="4"/>
        <v/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1" t="str">
        <f>IF(E48="","",VLOOKUP('OPĆI DIO'!$C$3,'OPĆI DIO'!$L$6:$U$138,10,FALSE))</f>
        <v/>
      </c>
      <c r="B48" s="81" t="str">
        <f>IF(E48="","",VLOOKUP('OPĆI DIO'!$C$3,'OPĆI DIO'!$L$6:$U$138,9,FALSE))</f>
        <v/>
      </c>
      <c r="C48" s="124" t="str">
        <f t="shared" si="0"/>
        <v/>
      </c>
      <c r="D48" s="80" t="str">
        <f t="shared" si="1"/>
        <v/>
      </c>
      <c r="E48" s="89"/>
      <c r="F48" s="128" t="str">
        <f t="shared" si="2"/>
        <v/>
      </c>
      <c r="G48" s="122"/>
      <c r="H48" s="122"/>
      <c r="I48" s="122"/>
      <c r="J48" s="89"/>
      <c r="L48" t="str">
        <f t="shared" si="3"/>
        <v/>
      </c>
      <c r="M48" t="str">
        <f t="shared" si="4"/>
        <v/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1" t="str">
        <f>IF(E49="","",VLOOKUP('OPĆI DIO'!$C$3,'OPĆI DIO'!$L$6:$U$138,10,FALSE))</f>
        <v/>
      </c>
      <c r="B49" s="81" t="str">
        <f>IF(E49="","",VLOOKUP('OPĆI DIO'!$C$3,'OPĆI DIO'!$L$6:$U$138,9,FALSE))</f>
        <v/>
      </c>
      <c r="C49" s="124" t="str">
        <f t="shared" si="0"/>
        <v/>
      </c>
      <c r="D49" s="80" t="str">
        <f t="shared" si="1"/>
        <v/>
      </c>
      <c r="E49" s="89"/>
      <c r="F49" s="128" t="str">
        <f t="shared" si="2"/>
        <v/>
      </c>
      <c r="G49" s="122"/>
      <c r="H49" s="122"/>
      <c r="I49" s="122"/>
      <c r="J49" s="89"/>
      <c r="L49" t="str">
        <f t="shared" si="3"/>
        <v/>
      </c>
      <c r="M49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1" t="str">
        <f>IF(E50="","",VLOOKUP('OPĆI DIO'!$C$3,'OPĆI DIO'!$L$6:$U$138,10,FALSE))</f>
        <v/>
      </c>
      <c r="B50" s="81" t="str">
        <f>IF(E50="","",VLOOKUP('OPĆI DIO'!$C$3,'OPĆI DIO'!$L$6:$U$138,9,FALSE))</f>
        <v/>
      </c>
      <c r="C50" s="124" t="str">
        <f t="shared" si="0"/>
        <v/>
      </c>
      <c r="D50" s="80" t="str">
        <f t="shared" si="1"/>
        <v/>
      </c>
      <c r="E50" s="89"/>
      <c r="F50" s="128" t="str">
        <f t="shared" si="2"/>
        <v/>
      </c>
      <c r="G50" s="122"/>
      <c r="H50" s="122"/>
      <c r="I50" s="122"/>
      <c r="J50" s="89"/>
      <c r="L50" t="str">
        <f t="shared" si="3"/>
        <v/>
      </c>
      <c r="M50" t="str">
        <f t="shared" si="4"/>
        <v/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1" t="str">
        <f>IF(E51="","",VLOOKUP('OPĆI DIO'!$C$3,'OPĆI DIO'!$L$6:$U$138,10,FALSE))</f>
        <v/>
      </c>
      <c r="B51" s="81" t="str">
        <f>IF(E51="","",VLOOKUP('OPĆI DIO'!$C$3,'OPĆI DIO'!$L$6:$U$138,9,FALSE))</f>
        <v/>
      </c>
      <c r="C51" s="124" t="str">
        <f t="shared" si="0"/>
        <v/>
      </c>
      <c r="D51" s="80" t="str">
        <f t="shared" si="1"/>
        <v/>
      </c>
      <c r="E51" s="89"/>
      <c r="F51" s="128" t="str">
        <f t="shared" si="2"/>
        <v/>
      </c>
      <c r="G51" s="122"/>
      <c r="H51" s="122"/>
      <c r="I51" s="122"/>
      <c r="J51" s="89"/>
      <c r="L51" t="str">
        <f t="shared" si="3"/>
        <v/>
      </c>
      <c r="M51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1" t="str">
        <f>IF(E52="","",VLOOKUP('OPĆI DIO'!$C$3,'OPĆI DIO'!$L$6:$U$138,10,FALSE))</f>
        <v/>
      </c>
      <c r="B52" s="81" t="str">
        <f>IF(E52="","",VLOOKUP('OPĆI DIO'!$C$3,'OPĆI DIO'!$L$6:$U$138,9,FALSE))</f>
        <v/>
      </c>
      <c r="C52" s="124" t="str">
        <f t="shared" si="0"/>
        <v/>
      </c>
      <c r="D52" s="80" t="str">
        <f t="shared" si="1"/>
        <v/>
      </c>
      <c r="E52" s="89"/>
      <c r="F52" s="128" t="str">
        <f t="shared" si="2"/>
        <v/>
      </c>
      <c r="G52" s="122"/>
      <c r="H52" s="122"/>
      <c r="I52" s="122"/>
      <c r="J52" s="89"/>
      <c r="L52" t="str">
        <f t="shared" si="3"/>
        <v/>
      </c>
      <c r="M52" t="str">
        <f t="shared" si="4"/>
        <v/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1" t="str">
        <f>IF(E53="","",VLOOKUP('OPĆI DIO'!$C$3,'OPĆI DIO'!$L$6:$U$138,10,FALSE))</f>
        <v/>
      </c>
      <c r="B53" s="81" t="str">
        <f>IF(E53="","",VLOOKUP('OPĆI DIO'!$C$3,'OPĆI DIO'!$L$6:$U$138,9,FALSE))</f>
        <v/>
      </c>
      <c r="C53" s="124" t="str">
        <f t="shared" si="0"/>
        <v/>
      </c>
      <c r="D53" s="80" t="str">
        <f t="shared" si="1"/>
        <v/>
      </c>
      <c r="E53" s="89"/>
      <c r="F53" s="128" t="str">
        <f t="shared" si="2"/>
        <v/>
      </c>
      <c r="G53" s="122"/>
      <c r="H53" s="122"/>
      <c r="I53" s="122"/>
      <c r="J53" s="89"/>
      <c r="L53" t="str">
        <f t="shared" si="3"/>
        <v/>
      </c>
      <c r="M53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1" t="str">
        <f>IF(E54="","",VLOOKUP('OPĆI DIO'!$C$3,'OPĆI DIO'!$L$6:$U$138,10,FALSE))</f>
        <v/>
      </c>
      <c r="B54" s="81" t="str">
        <f>IF(E54="","",VLOOKUP('OPĆI DIO'!$C$3,'OPĆI DIO'!$L$6:$U$138,9,FALSE))</f>
        <v/>
      </c>
      <c r="C54" s="124" t="str">
        <f t="shared" si="0"/>
        <v/>
      </c>
      <c r="D54" s="80" t="str">
        <f t="shared" si="1"/>
        <v/>
      </c>
      <c r="E54" s="89"/>
      <c r="F54" s="128" t="str">
        <f t="shared" si="2"/>
        <v/>
      </c>
      <c r="G54" s="122"/>
      <c r="H54" s="122"/>
      <c r="I54" s="122"/>
      <c r="J54" s="89"/>
      <c r="L54" t="str">
        <f t="shared" si="3"/>
        <v/>
      </c>
      <c r="M54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1" t="str">
        <f>IF(E55="","",VLOOKUP('OPĆI DIO'!$C$3,'OPĆI DIO'!$L$6:$U$138,10,FALSE))</f>
        <v/>
      </c>
      <c r="B55" s="81" t="str">
        <f>IF(E55="","",VLOOKUP('OPĆI DIO'!$C$3,'OPĆI DIO'!$L$6:$U$138,9,FALSE))</f>
        <v/>
      </c>
      <c r="C55" s="124" t="str">
        <f t="shared" si="0"/>
        <v/>
      </c>
      <c r="D55" s="80" t="str">
        <f t="shared" si="1"/>
        <v/>
      </c>
      <c r="E55" s="89"/>
      <c r="F55" s="128" t="str">
        <f t="shared" si="2"/>
        <v/>
      </c>
      <c r="G55" s="122"/>
      <c r="H55" s="122"/>
      <c r="I55" s="122"/>
      <c r="J55" s="89"/>
      <c r="L55" t="str">
        <f t="shared" si="3"/>
        <v/>
      </c>
      <c r="M55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1" t="str">
        <f>IF(E56="","",VLOOKUP('OPĆI DIO'!$C$3,'OPĆI DIO'!$L$6:$U$138,10,FALSE))</f>
        <v/>
      </c>
      <c r="B56" s="81" t="str">
        <f>IF(E56="","",VLOOKUP('OPĆI DIO'!$C$3,'OPĆI DIO'!$L$6:$U$138,9,FALSE))</f>
        <v/>
      </c>
      <c r="C56" s="124" t="str">
        <f t="shared" si="0"/>
        <v/>
      </c>
      <c r="D56" s="80" t="str">
        <f t="shared" si="1"/>
        <v/>
      </c>
      <c r="E56" s="89"/>
      <c r="F56" s="128" t="str">
        <f t="shared" si="2"/>
        <v/>
      </c>
      <c r="G56" s="122"/>
      <c r="H56" s="122"/>
      <c r="I56" s="122"/>
      <c r="J56" s="89"/>
      <c r="L56" t="str">
        <f t="shared" si="3"/>
        <v/>
      </c>
      <c r="M56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1" t="str">
        <f>IF(E57="","",VLOOKUP('OPĆI DIO'!$C$3,'OPĆI DIO'!$L$6:$U$138,10,FALSE))</f>
        <v/>
      </c>
      <c r="B57" s="81" t="str">
        <f>IF(E57="","",VLOOKUP('OPĆI DIO'!$C$3,'OPĆI DIO'!$L$6:$U$138,9,FALSE))</f>
        <v/>
      </c>
      <c r="C57" s="124" t="str">
        <f t="shared" si="0"/>
        <v/>
      </c>
      <c r="D57" s="80" t="str">
        <f t="shared" si="1"/>
        <v/>
      </c>
      <c r="E57" s="89"/>
      <c r="F57" s="128" t="str">
        <f t="shared" si="2"/>
        <v/>
      </c>
      <c r="G57" s="122"/>
      <c r="H57" s="122"/>
      <c r="I57" s="122"/>
      <c r="J57" s="89"/>
      <c r="L57" t="str">
        <f t="shared" si="3"/>
        <v/>
      </c>
      <c r="M57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1" t="str">
        <f>IF(E58="","",VLOOKUP('OPĆI DIO'!$C$3,'OPĆI DIO'!$L$6:$U$138,10,FALSE))</f>
        <v/>
      </c>
      <c r="B58" s="81" t="str">
        <f>IF(E58="","",VLOOKUP('OPĆI DIO'!$C$3,'OPĆI DIO'!$L$6:$U$138,9,FALSE))</f>
        <v/>
      </c>
      <c r="C58" s="124" t="str">
        <f t="shared" si="0"/>
        <v/>
      </c>
      <c r="D58" s="80" t="str">
        <f t="shared" si="1"/>
        <v/>
      </c>
      <c r="E58" s="89"/>
      <c r="F58" s="128" t="str">
        <f t="shared" si="2"/>
        <v/>
      </c>
      <c r="G58" s="122"/>
      <c r="H58" s="122"/>
      <c r="I58" s="122"/>
      <c r="J58" s="89"/>
      <c r="L58" t="str">
        <f t="shared" si="3"/>
        <v/>
      </c>
      <c r="M58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1" t="str">
        <f>IF(E59="","",VLOOKUP('OPĆI DIO'!$C$3,'OPĆI DIO'!$L$6:$U$138,10,FALSE))</f>
        <v/>
      </c>
      <c r="B59" s="81" t="str">
        <f>IF(E59="","",VLOOKUP('OPĆI DIO'!$C$3,'OPĆI DIO'!$L$6:$U$138,9,FALSE))</f>
        <v/>
      </c>
      <c r="C59" s="124" t="str">
        <f t="shared" si="0"/>
        <v/>
      </c>
      <c r="D59" s="80" t="str">
        <f t="shared" si="1"/>
        <v/>
      </c>
      <c r="E59" s="89"/>
      <c r="F59" s="128" t="str">
        <f t="shared" si="2"/>
        <v/>
      </c>
      <c r="G59" s="122"/>
      <c r="H59" s="122"/>
      <c r="I59" s="122"/>
      <c r="J59" s="89"/>
      <c r="L59" t="str">
        <f t="shared" si="3"/>
        <v/>
      </c>
      <c r="M59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1" t="str">
        <f>IF(E60="","",VLOOKUP('OPĆI DIO'!$C$3,'OPĆI DIO'!$L$6:$U$138,10,FALSE))</f>
        <v/>
      </c>
      <c r="B60" s="81" t="str">
        <f>IF(E60="","",VLOOKUP('OPĆI DIO'!$C$3,'OPĆI DIO'!$L$6:$U$138,9,FALSE))</f>
        <v/>
      </c>
      <c r="C60" s="124" t="str">
        <f t="shared" si="0"/>
        <v/>
      </c>
      <c r="D60" s="80" t="str">
        <f t="shared" si="1"/>
        <v/>
      </c>
      <c r="E60" s="89"/>
      <c r="F60" s="128" t="str">
        <f t="shared" si="2"/>
        <v/>
      </c>
      <c r="G60" s="122"/>
      <c r="H60" s="122"/>
      <c r="I60" s="122"/>
      <c r="J60" s="89"/>
      <c r="L60" t="str">
        <f t="shared" si="3"/>
        <v/>
      </c>
      <c r="M60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1" t="str">
        <f>IF(E61="","",VLOOKUP('OPĆI DIO'!$C$3,'OPĆI DIO'!$L$6:$U$138,10,FALSE))</f>
        <v/>
      </c>
      <c r="B61" s="81" t="str">
        <f>IF(E61="","",VLOOKUP('OPĆI DIO'!$C$3,'OPĆI DIO'!$L$6:$U$138,9,FALSE))</f>
        <v/>
      </c>
      <c r="C61" s="124" t="str">
        <f t="shared" si="0"/>
        <v/>
      </c>
      <c r="D61" s="80" t="str">
        <f t="shared" si="1"/>
        <v/>
      </c>
      <c r="E61" s="89"/>
      <c r="F61" s="128" t="str">
        <f t="shared" si="2"/>
        <v/>
      </c>
      <c r="G61" s="122"/>
      <c r="H61" s="122"/>
      <c r="I61" s="122"/>
      <c r="J61" s="89"/>
      <c r="L61" t="str">
        <f t="shared" si="3"/>
        <v/>
      </c>
      <c r="M61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1" t="str">
        <f>IF(E62="","",VLOOKUP('OPĆI DIO'!$C$3,'OPĆI DIO'!$L$6:$U$138,10,FALSE))</f>
        <v/>
      </c>
      <c r="B62" s="81" t="str">
        <f>IF(E62="","",VLOOKUP('OPĆI DIO'!$C$3,'OPĆI DIO'!$L$6:$U$138,9,FALSE))</f>
        <v/>
      </c>
      <c r="C62" s="124" t="str">
        <f t="shared" si="0"/>
        <v/>
      </c>
      <c r="D62" s="80" t="str">
        <f t="shared" si="1"/>
        <v/>
      </c>
      <c r="E62" s="89"/>
      <c r="F62" s="128" t="str">
        <f t="shared" si="2"/>
        <v/>
      </c>
      <c r="G62" s="122"/>
      <c r="H62" s="122"/>
      <c r="I62" s="122"/>
      <c r="J62" s="89"/>
      <c r="L62" t="str">
        <f t="shared" si="3"/>
        <v/>
      </c>
      <c r="M62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1" t="str">
        <f>IF(E63="","",VLOOKUP('OPĆI DIO'!$C$3,'OPĆI DIO'!$L$6:$U$138,10,FALSE))</f>
        <v/>
      </c>
      <c r="B63" s="81" t="str">
        <f>IF(E63="","",VLOOKUP('OPĆI DIO'!$C$3,'OPĆI DIO'!$L$6:$U$138,9,FALSE))</f>
        <v/>
      </c>
      <c r="C63" s="124" t="str">
        <f t="shared" si="0"/>
        <v/>
      </c>
      <c r="D63" s="80" t="str">
        <f t="shared" si="1"/>
        <v/>
      </c>
      <c r="E63" s="89"/>
      <c r="F63" s="128" t="str">
        <f t="shared" si="2"/>
        <v/>
      </c>
      <c r="G63" s="122"/>
      <c r="H63" s="122"/>
      <c r="I63" s="122"/>
      <c r="J63" s="89"/>
      <c r="L63" t="str">
        <f t="shared" si="3"/>
        <v/>
      </c>
      <c r="M63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1" t="str">
        <f>IF(E64="","",VLOOKUP('OPĆI DIO'!$C$3,'OPĆI DIO'!$L$6:$U$138,10,FALSE))</f>
        <v/>
      </c>
      <c r="B64" s="81" t="str">
        <f>IF(E64="","",VLOOKUP('OPĆI DIO'!$C$3,'OPĆI DIO'!$L$6:$U$138,9,FALSE))</f>
        <v/>
      </c>
      <c r="C64" s="124" t="str">
        <f t="shared" si="0"/>
        <v/>
      </c>
      <c r="D64" s="80" t="str">
        <f t="shared" si="1"/>
        <v/>
      </c>
      <c r="E64" s="89"/>
      <c r="F64" s="128" t="str">
        <f t="shared" si="2"/>
        <v/>
      </c>
      <c r="G64" s="122"/>
      <c r="H64" s="122"/>
      <c r="I64" s="122"/>
      <c r="J64" s="89"/>
      <c r="L64" t="str">
        <f t="shared" si="3"/>
        <v/>
      </c>
      <c r="M64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1" t="str">
        <f>IF(E65="","",VLOOKUP('OPĆI DIO'!$C$3,'OPĆI DIO'!$L$6:$U$138,10,FALSE))</f>
        <v/>
      </c>
      <c r="B65" s="81" t="str">
        <f>IF(E65="","",VLOOKUP('OPĆI DIO'!$C$3,'OPĆI DIO'!$L$6:$U$138,9,FALSE))</f>
        <v/>
      </c>
      <c r="C65" s="124" t="str">
        <f t="shared" si="0"/>
        <v/>
      </c>
      <c r="D65" s="80" t="str">
        <f t="shared" si="1"/>
        <v/>
      </c>
      <c r="E65" s="89"/>
      <c r="F65" s="128" t="str">
        <f t="shared" si="2"/>
        <v/>
      </c>
      <c r="G65" s="122"/>
      <c r="H65" s="122"/>
      <c r="I65" s="122"/>
      <c r="J65" s="89"/>
      <c r="L65" t="str">
        <f t="shared" si="3"/>
        <v/>
      </c>
      <c r="M65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1" t="str">
        <f>IF(E66="","",VLOOKUP('OPĆI DIO'!$C$3,'OPĆI DIO'!$L$6:$U$138,10,FALSE))</f>
        <v/>
      </c>
      <c r="B66" s="81" t="str">
        <f>IF(E66="","",VLOOKUP('OPĆI DIO'!$C$3,'OPĆI DIO'!$L$6:$U$138,9,FALSE))</f>
        <v/>
      </c>
      <c r="C66" s="124" t="str">
        <f t="shared" si="0"/>
        <v/>
      </c>
      <c r="D66" s="80" t="str">
        <f t="shared" si="1"/>
        <v/>
      </c>
      <c r="E66" s="89"/>
      <c r="F66" s="128" t="str">
        <f t="shared" si="2"/>
        <v/>
      </c>
      <c r="G66" s="122"/>
      <c r="H66" s="122"/>
      <c r="I66" s="122"/>
      <c r="J66" s="89"/>
      <c r="L66" t="str">
        <f t="shared" si="3"/>
        <v/>
      </c>
      <c r="M66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1" t="str">
        <f>IF(E67="","",VLOOKUP('OPĆI DIO'!$C$3,'OPĆI DIO'!$L$6:$U$138,10,FALSE))</f>
        <v/>
      </c>
      <c r="B67" s="81" t="str">
        <f>IF(E67="","",VLOOKUP('OPĆI DIO'!$C$3,'OPĆI DIO'!$L$6:$U$138,9,FALSE))</f>
        <v/>
      </c>
      <c r="C67" s="124" t="str">
        <f t="shared" ref="C67:C130" si="5">IFERROR(VLOOKUP(E67,$R$6:$U$108,3,FALSE),"")</f>
        <v/>
      </c>
      <c r="D67" s="80" t="str">
        <f t="shared" ref="D67:D130" si="6">IFERROR(VLOOKUP(E67,$R$6:$U$108,4,FALSE),"")</f>
        <v/>
      </c>
      <c r="E67" s="89"/>
      <c r="F67" s="128" t="str">
        <f t="shared" ref="F67:F130" si="7">IFERROR(VLOOKUP(E67,$R$6:$U$108,2,FALSE),"")</f>
        <v/>
      </c>
      <c r="G67" s="122"/>
      <c r="H67" s="122"/>
      <c r="I67" s="122"/>
      <c r="J67" s="89"/>
      <c r="L67" t="str">
        <f t="shared" si="3"/>
        <v/>
      </c>
      <c r="M67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1" t="str">
        <f>IF(E68="","",VLOOKUP('OPĆI DIO'!$C$3,'OPĆI DIO'!$L$6:$U$138,10,FALSE))</f>
        <v/>
      </c>
      <c r="B68" s="81" t="str">
        <f>IF(E68="","",VLOOKUP('OPĆI DIO'!$C$3,'OPĆI DIO'!$L$6:$U$138,9,FALSE))</f>
        <v/>
      </c>
      <c r="C68" s="124" t="str">
        <f t="shared" si="5"/>
        <v/>
      </c>
      <c r="D68" s="80" t="str">
        <f t="shared" si="6"/>
        <v/>
      </c>
      <c r="E68" s="89"/>
      <c r="F68" s="128" t="str">
        <f t="shared" si="7"/>
        <v/>
      </c>
      <c r="G68" s="122"/>
      <c r="H68" s="122"/>
      <c r="I68" s="122"/>
      <c r="J68" s="89"/>
      <c r="L68" t="str">
        <f t="shared" ref="L68:L131" si="8">LEFT(E68,2)</f>
        <v/>
      </c>
      <c r="M68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1" t="str">
        <f>IF(E69="","",VLOOKUP('OPĆI DIO'!$C$3,'OPĆI DIO'!$L$6:$U$138,10,FALSE))</f>
        <v/>
      </c>
      <c r="B69" s="81" t="str">
        <f>IF(E69="","",VLOOKUP('OPĆI DIO'!$C$3,'OPĆI DIO'!$L$6:$U$138,9,FALSE))</f>
        <v/>
      </c>
      <c r="C69" s="124" t="str">
        <f t="shared" si="5"/>
        <v/>
      </c>
      <c r="D69" s="80" t="str">
        <f t="shared" si="6"/>
        <v/>
      </c>
      <c r="E69" s="89"/>
      <c r="F69" s="128" t="str">
        <f t="shared" si="7"/>
        <v/>
      </c>
      <c r="G69" s="122"/>
      <c r="H69" s="122"/>
      <c r="I69" s="122"/>
      <c r="J69" s="89"/>
      <c r="L69" t="str">
        <f t="shared" si="8"/>
        <v/>
      </c>
      <c r="M69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1" t="str">
        <f>IF(E70="","",VLOOKUP('OPĆI DIO'!$C$3,'OPĆI DIO'!$L$6:$U$138,10,FALSE))</f>
        <v/>
      </c>
      <c r="B70" s="81" t="str">
        <f>IF(E70="","",VLOOKUP('OPĆI DIO'!$C$3,'OPĆI DIO'!$L$6:$U$138,9,FALSE))</f>
        <v/>
      </c>
      <c r="C70" s="124" t="str">
        <f t="shared" si="5"/>
        <v/>
      </c>
      <c r="D70" s="80" t="str">
        <f t="shared" si="6"/>
        <v/>
      </c>
      <c r="E70" s="89"/>
      <c r="F70" s="128" t="str">
        <f t="shared" si="7"/>
        <v/>
      </c>
      <c r="G70" s="122"/>
      <c r="H70" s="122"/>
      <c r="I70" s="122"/>
      <c r="J70" s="89"/>
      <c r="L70" t="str">
        <f t="shared" si="8"/>
        <v/>
      </c>
      <c r="M70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1" t="str">
        <f>IF(E71="","",VLOOKUP('OPĆI DIO'!$C$3,'OPĆI DIO'!$L$6:$U$138,10,FALSE))</f>
        <v/>
      </c>
      <c r="B71" s="81" t="str">
        <f>IF(E71="","",VLOOKUP('OPĆI DIO'!$C$3,'OPĆI DIO'!$L$6:$U$138,9,FALSE))</f>
        <v/>
      </c>
      <c r="C71" s="124" t="str">
        <f t="shared" si="5"/>
        <v/>
      </c>
      <c r="D71" s="80" t="str">
        <f t="shared" si="6"/>
        <v/>
      </c>
      <c r="E71" s="89"/>
      <c r="F71" s="128" t="str">
        <f t="shared" si="7"/>
        <v/>
      </c>
      <c r="G71" s="122"/>
      <c r="H71" s="122"/>
      <c r="I71" s="122"/>
      <c r="J71" s="89"/>
      <c r="L71" t="str">
        <f t="shared" si="8"/>
        <v/>
      </c>
      <c r="M71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1" t="str">
        <f>IF(E72="","",VLOOKUP('OPĆI DIO'!$C$3,'OPĆI DIO'!$L$6:$U$138,10,FALSE))</f>
        <v/>
      </c>
      <c r="B72" s="81" t="str">
        <f>IF(E72="","",VLOOKUP('OPĆI DIO'!$C$3,'OPĆI DIO'!$L$6:$U$138,9,FALSE))</f>
        <v/>
      </c>
      <c r="C72" s="124" t="str">
        <f t="shared" si="5"/>
        <v/>
      </c>
      <c r="D72" s="80" t="str">
        <f t="shared" si="6"/>
        <v/>
      </c>
      <c r="E72" s="89"/>
      <c r="F72" s="128" t="str">
        <f t="shared" si="7"/>
        <v/>
      </c>
      <c r="G72" s="122"/>
      <c r="H72" s="122"/>
      <c r="I72" s="122"/>
      <c r="J72" s="89"/>
      <c r="L72" t="str">
        <f t="shared" si="8"/>
        <v/>
      </c>
      <c r="M72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1" t="str">
        <f>IF(E73="","",VLOOKUP('OPĆI DIO'!$C$3,'OPĆI DIO'!$L$6:$U$138,10,FALSE))</f>
        <v/>
      </c>
      <c r="B73" s="81" t="str">
        <f>IF(E73="","",VLOOKUP('OPĆI DIO'!$C$3,'OPĆI DIO'!$L$6:$U$138,9,FALSE))</f>
        <v/>
      </c>
      <c r="C73" s="124" t="str">
        <f t="shared" si="5"/>
        <v/>
      </c>
      <c r="D73" s="80" t="str">
        <f t="shared" si="6"/>
        <v/>
      </c>
      <c r="E73" s="89"/>
      <c r="F73" s="128" t="str">
        <f t="shared" si="7"/>
        <v/>
      </c>
      <c r="G73" s="122"/>
      <c r="H73" s="122"/>
      <c r="I73" s="122"/>
      <c r="J73" s="89"/>
      <c r="L73" t="str">
        <f t="shared" si="8"/>
        <v/>
      </c>
      <c r="M73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1" t="str">
        <f>IF(E74="","",VLOOKUP('OPĆI DIO'!$C$3,'OPĆI DIO'!$L$6:$U$138,10,FALSE))</f>
        <v/>
      </c>
      <c r="B74" s="81" t="str">
        <f>IF(E74="","",VLOOKUP('OPĆI DIO'!$C$3,'OPĆI DIO'!$L$6:$U$138,9,FALSE))</f>
        <v/>
      </c>
      <c r="C74" s="124" t="str">
        <f t="shared" si="5"/>
        <v/>
      </c>
      <c r="D74" s="80" t="str">
        <f t="shared" si="6"/>
        <v/>
      </c>
      <c r="E74" s="89"/>
      <c r="F74" s="128" t="str">
        <f t="shared" si="7"/>
        <v/>
      </c>
      <c r="G74" s="122"/>
      <c r="H74" s="122"/>
      <c r="I74" s="122"/>
      <c r="J74" s="89"/>
      <c r="L74" t="str">
        <f t="shared" si="8"/>
        <v/>
      </c>
      <c r="M74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1" t="str">
        <f>IF(E75="","",VLOOKUP('OPĆI DIO'!$C$3,'OPĆI DIO'!$L$6:$U$138,10,FALSE))</f>
        <v/>
      </c>
      <c r="B75" s="81" t="str">
        <f>IF(E75="","",VLOOKUP('OPĆI DIO'!$C$3,'OPĆI DIO'!$L$6:$U$138,9,FALSE))</f>
        <v/>
      </c>
      <c r="C75" s="124" t="str">
        <f t="shared" si="5"/>
        <v/>
      </c>
      <c r="D75" s="80" t="str">
        <f t="shared" si="6"/>
        <v/>
      </c>
      <c r="E75" s="89"/>
      <c r="F75" s="128" t="str">
        <f t="shared" si="7"/>
        <v/>
      </c>
      <c r="G75" s="122"/>
      <c r="H75" s="122"/>
      <c r="I75" s="122"/>
      <c r="J75" s="89"/>
      <c r="L75" t="str">
        <f t="shared" si="8"/>
        <v/>
      </c>
      <c r="M75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1" t="str">
        <f>IF(E76="","",VLOOKUP('OPĆI DIO'!$C$3,'OPĆI DIO'!$L$6:$U$138,10,FALSE))</f>
        <v/>
      </c>
      <c r="B76" s="81" t="str">
        <f>IF(E76="","",VLOOKUP('OPĆI DIO'!$C$3,'OPĆI DIO'!$L$6:$U$138,9,FALSE))</f>
        <v/>
      </c>
      <c r="C76" s="124" t="str">
        <f t="shared" si="5"/>
        <v/>
      </c>
      <c r="D76" s="80" t="str">
        <f t="shared" si="6"/>
        <v/>
      </c>
      <c r="E76" s="89"/>
      <c r="F76" s="128" t="str">
        <f t="shared" si="7"/>
        <v/>
      </c>
      <c r="G76" s="122"/>
      <c r="H76" s="122"/>
      <c r="I76" s="122"/>
      <c r="J76" s="89"/>
      <c r="L76" t="str">
        <f t="shared" si="8"/>
        <v/>
      </c>
      <c r="M76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1" t="str">
        <f>IF(E77="","",VLOOKUP('OPĆI DIO'!$C$3,'OPĆI DIO'!$L$6:$U$138,10,FALSE))</f>
        <v/>
      </c>
      <c r="B77" s="81" t="str">
        <f>IF(E77="","",VLOOKUP('OPĆI DIO'!$C$3,'OPĆI DIO'!$L$6:$U$138,9,FALSE))</f>
        <v/>
      </c>
      <c r="C77" s="124" t="str">
        <f t="shared" si="5"/>
        <v/>
      </c>
      <c r="D77" s="80" t="str">
        <f t="shared" si="6"/>
        <v/>
      </c>
      <c r="E77" s="89"/>
      <c r="F77" s="128" t="str">
        <f t="shared" si="7"/>
        <v/>
      </c>
      <c r="G77" s="122"/>
      <c r="H77" s="122"/>
      <c r="I77" s="122"/>
      <c r="J77" s="89"/>
      <c r="L77" t="str">
        <f t="shared" si="8"/>
        <v/>
      </c>
      <c r="M77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1" t="str">
        <f>IF(E78="","",VLOOKUP('OPĆI DIO'!$C$3,'OPĆI DIO'!$L$6:$U$138,10,FALSE))</f>
        <v/>
      </c>
      <c r="B78" s="81" t="str">
        <f>IF(E78="","",VLOOKUP('OPĆI DIO'!$C$3,'OPĆI DIO'!$L$6:$U$138,9,FALSE))</f>
        <v/>
      </c>
      <c r="C78" s="124" t="str">
        <f t="shared" si="5"/>
        <v/>
      </c>
      <c r="D78" s="80" t="str">
        <f t="shared" si="6"/>
        <v/>
      </c>
      <c r="E78" s="89"/>
      <c r="F78" s="128" t="str">
        <f t="shared" si="7"/>
        <v/>
      </c>
      <c r="G78" s="122"/>
      <c r="H78" s="122"/>
      <c r="I78" s="122"/>
      <c r="J78" s="89"/>
      <c r="L78" t="str">
        <f t="shared" si="8"/>
        <v/>
      </c>
      <c r="M78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1" t="str">
        <f>IF(E79="","",VLOOKUP('OPĆI DIO'!$C$3,'OPĆI DIO'!$L$6:$U$138,10,FALSE))</f>
        <v/>
      </c>
      <c r="B79" s="81" t="str">
        <f>IF(E79="","",VLOOKUP('OPĆI DIO'!$C$3,'OPĆI DIO'!$L$6:$U$138,9,FALSE))</f>
        <v/>
      </c>
      <c r="C79" s="124" t="str">
        <f t="shared" si="5"/>
        <v/>
      </c>
      <c r="D79" s="80" t="str">
        <f t="shared" si="6"/>
        <v/>
      </c>
      <c r="E79" s="89"/>
      <c r="F79" s="128" t="str">
        <f t="shared" si="7"/>
        <v/>
      </c>
      <c r="G79" s="122"/>
      <c r="H79" s="122"/>
      <c r="I79" s="122"/>
      <c r="J79" s="89"/>
      <c r="L79" t="str">
        <f t="shared" si="8"/>
        <v/>
      </c>
      <c r="M79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1" t="str">
        <f>IF(E80="","",VLOOKUP('OPĆI DIO'!$C$3,'OPĆI DIO'!$L$6:$U$138,10,FALSE))</f>
        <v/>
      </c>
      <c r="B80" s="81" t="str">
        <f>IF(E80="","",VLOOKUP('OPĆI DIO'!$C$3,'OPĆI DIO'!$L$6:$U$138,9,FALSE))</f>
        <v/>
      </c>
      <c r="C80" s="124" t="str">
        <f t="shared" si="5"/>
        <v/>
      </c>
      <c r="D80" s="80" t="str">
        <f t="shared" si="6"/>
        <v/>
      </c>
      <c r="E80" s="89"/>
      <c r="F80" s="128" t="str">
        <f t="shared" si="7"/>
        <v/>
      </c>
      <c r="G80" s="122"/>
      <c r="H80" s="122"/>
      <c r="I80" s="122"/>
      <c r="J80" s="89"/>
      <c r="L80" t="str">
        <f t="shared" si="8"/>
        <v/>
      </c>
      <c r="M80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1" t="str">
        <f>IF(E81="","",VLOOKUP('OPĆI DIO'!$C$3,'OPĆI DIO'!$L$6:$U$138,10,FALSE))</f>
        <v/>
      </c>
      <c r="B81" s="81" t="str">
        <f>IF(E81="","",VLOOKUP('OPĆI DIO'!$C$3,'OPĆI DIO'!$L$6:$U$138,9,FALSE))</f>
        <v/>
      </c>
      <c r="C81" s="124" t="str">
        <f t="shared" si="5"/>
        <v/>
      </c>
      <c r="D81" s="80" t="str">
        <f t="shared" si="6"/>
        <v/>
      </c>
      <c r="E81" s="89"/>
      <c r="F81" s="128" t="str">
        <f t="shared" si="7"/>
        <v/>
      </c>
      <c r="G81" s="122"/>
      <c r="H81" s="122"/>
      <c r="I81" s="122"/>
      <c r="J81" s="89"/>
      <c r="L81" t="str">
        <f t="shared" si="8"/>
        <v/>
      </c>
      <c r="M81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1" t="str">
        <f>IF(E82="","",VLOOKUP('OPĆI DIO'!$C$3,'OPĆI DIO'!$L$6:$U$138,10,FALSE))</f>
        <v/>
      </c>
      <c r="B82" s="81" t="str">
        <f>IF(E82="","",VLOOKUP('OPĆI DIO'!$C$3,'OPĆI DIO'!$L$6:$U$138,9,FALSE))</f>
        <v/>
      </c>
      <c r="C82" s="124" t="str">
        <f t="shared" si="5"/>
        <v/>
      </c>
      <c r="D82" s="80" t="str">
        <f t="shared" si="6"/>
        <v/>
      </c>
      <c r="E82" s="89"/>
      <c r="F82" s="128" t="str">
        <f t="shared" si="7"/>
        <v/>
      </c>
      <c r="G82" s="122"/>
      <c r="H82" s="122"/>
      <c r="I82" s="122"/>
      <c r="J82" s="89"/>
      <c r="L82" t="str">
        <f t="shared" si="8"/>
        <v/>
      </c>
      <c r="M82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1" t="str">
        <f>IF(E83="","",VLOOKUP('OPĆI DIO'!$C$3,'OPĆI DIO'!$L$6:$U$138,10,FALSE))</f>
        <v/>
      </c>
      <c r="B83" s="81" t="str">
        <f>IF(E83="","",VLOOKUP('OPĆI DIO'!$C$3,'OPĆI DIO'!$L$6:$U$138,9,FALSE))</f>
        <v/>
      </c>
      <c r="C83" s="124" t="str">
        <f t="shared" si="5"/>
        <v/>
      </c>
      <c r="D83" s="80" t="str">
        <f t="shared" si="6"/>
        <v/>
      </c>
      <c r="E83" s="89"/>
      <c r="F83" s="128" t="str">
        <f t="shared" si="7"/>
        <v/>
      </c>
      <c r="G83" s="122"/>
      <c r="H83" s="122"/>
      <c r="I83" s="122"/>
      <c r="J83" s="89"/>
      <c r="L83" t="str">
        <f t="shared" si="8"/>
        <v/>
      </c>
      <c r="M83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1" t="str">
        <f>IF(E84="","",VLOOKUP('OPĆI DIO'!$C$3,'OPĆI DIO'!$L$6:$U$138,10,FALSE))</f>
        <v/>
      </c>
      <c r="B84" s="81" t="str">
        <f>IF(E84="","",VLOOKUP('OPĆI DIO'!$C$3,'OPĆI DIO'!$L$6:$U$138,9,FALSE))</f>
        <v/>
      </c>
      <c r="C84" s="124" t="str">
        <f t="shared" si="5"/>
        <v/>
      </c>
      <c r="D84" s="80" t="str">
        <f t="shared" si="6"/>
        <v/>
      </c>
      <c r="E84" s="89"/>
      <c r="F84" s="128" t="str">
        <f t="shared" si="7"/>
        <v/>
      </c>
      <c r="G84" s="122"/>
      <c r="H84" s="122"/>
      <c r="I84" s="122"/>
      <c r="J84" s="89"/>
      <c r="L84" t="str">
        <f t="shared" si="8"/>
        <v/>
      </c>
      <c r="M84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1" t="str">
        <f>IF(E85="","",VLOOKUP('OPĆI DIO'!$C$3,'OPĆI DIO'!$L$6:$U$138,10,FALSE))</f>
        <v/>
      </c>
      <c r="B85" s="81" t="str">
        <f>IF(E85="","",VLOOKUP('OPĆI DIO'!$C$3,'OPĆI DIO'!$L$6:$U$138,9,FALSE))</f>
        <v/>
      </c>
      <c r="C85" s="124" t="str">
        <f t="shared" si="5"/>
        <v/>
      </c>
      <c r="D85" s="80" t="str">
        <f t="shared" si="6"/>
        <v/>
      </c>
      <c r="E85" s="89"/>
      <c r="F85" s="128" t="str">
        <f t="shared" si="7"/>
        <v/>
      </c>
      <c r="G85" s="122"/>
      <c r="H85" s="122"/>
      <c r="I85" s="122"/>
      <c r="J85" s="89"/>
      <c r="L85" t="str">
        <f t="shared" si="8"/>
        <v/>
      </c>
      <c r="M85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1" t="str">
        <f>IF(E86="","",VLOOKUP('OPĆI DIO'!$C$3,'OPĆI DIO'!$L$6:$U$138,10,FALSE))</f>
        <v/>
      </c>
      <c r="B86" s="81" t="str">
        <f>IF(E86="","",VLOOKUP('OPĆI DIO'!$C$3,'OPĆI DIO'!$L$6:$U$138,9,FALSE))</f>
        <v/>
      </c>
      <c r="C86" s="124" t="str">
        <f t="shared" si="5"/>
        <v/>
      </c>
      <c r="D86" s="80" t="str">
        <f t="shared" si="6"/>
        <v/>
      </c>
      <c r="E86" s="89"/>
      <c r="F86" s="128" t="str">
        <f t="shared" si="7"/>
        <v/>
      </c>
      <c r="G86" s="122"/>
      <c r="H86" s="122"/>
      <c r="I86" s="122"/>
      <c r="J86" s="89"/>
      <c r="L86" t="str">
        <f t="shared" si="8"/>
        <v/>
      </c>
      <c r="M86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1" t="str">
        <f>IF(E87="","",VLOOKUP('OPĆI DIO'!$C$3,'OPĆI DIO'!$L$6:$U$138,10,FALSE))</f>
        <v/>
      </c>
      <c r="B87" s="81" t="str">
        <f>IF(E87="","",VLOOKUP('OPĆI DIO'!$C$3,'OPĆI DIO'!$L$6:$U$138,9,FALSE))</f>
        <v/>
      </c>
      <c r="C87" s="124" t="str">
        <f t="shared" si="5"/>
        <v/>
      </c>
      <c r="D87" s="80" t="str">
        <f t="shared" si="6"/>
        <v/>
      </c>
      <c r="E87" s="89"/>
      <c r="F87" s="128" t="str">
        <f t="shared" si="7"/>
        <v/>
      </c>
      <c r="G87" s="122"/>
      <c r="H87" s="122"/>
      <c r="I87" s="122"/>
      <c r="J87" s="89"/>
      <c r="L87" t="str">
        <f t="shared" si="8"/>
        <v/>
      </c>
      <c r="M87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1" t="str">
        <f>IF(E88="","",VLOOKUP('OPĆI DIO'!$C$3,'OPĆI DIO'!$L$6:$U$138,10,FALSE))</f>
        <v/>
      </c>
      <c r="B88" s="81" t="str">
        <f>IF(E88="","",VLOOKUP('OPĆI DIO'!$C$3,'OPĆI DIO'!$L$6:$U$138,9,FALSE))</f>
        <v/>
      </c>
      <c r="C88" s="124" t="str">
        <f t="shared" si="5"/>
        <v/>
      </c>
      <c r="D88" s="80" t="str">
        <f t="shared" si="6"/>
        <v/>
      </c>
      <c r="E88" s="89"/>
      <c r="F88" s="128" t="str">
        <f t="shared" si="7"/>
        <v/>
      </c>
      <c r="G88" s="122"/>
      <c r="H88" s="122"/>
      <c r="I88" s="122"/>
      <c r="J88" s="89"/>
      <c r="L88" t="str">
        <f t="shared" si="8"/>
        <v/>
      </c>
      <c r="M88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1" t="str">
        <f>IF(E89="","",VLOOKUP('OPĆI DIO'!$C$3,'OPĆI DIO'!$L$6:$U$138,10,FALSE))</f>
        <v/>
      </c>
      <c r="B89" s="81" t="str">
        <f>IF(E89="","",VLOOKUP('OPĆI DIO'!$C$3,'OPĆI DIO'!$L$6:$U$138,9,FALSE))</f>
        <v/>
      </c>
      <c r="C89" s="124" t="str">
        <f t="shared" si="5"/>
        <v/>
      </c>
      <c r="D89" s="80" t="str">
        <f t="shared" si="6"/>
        <v/>
      </c>
      <c r="E89" s="89"/>
      <c r="F89" s="128" t="str">
        <f t="shared" si="7"/>
        <v/>
      </c>
      <c r="G89" s="122"/>
      <c r="H89" s="122"/>
      <c r="I89" s="122"/>
      <c r="J89" s="89"/>
      <c r="L89" t="str">
        <f t="shared" si="8"/>
        <v/>
      </c>
      <c r="M89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1" t="str">
        <f>IF(E90="","",VLOOKUP('OPĆI DIO'!$C$3,'OPĆI DIO'!$L$6:$U$138,10,FALSE))</f>
        <v/>
      </c>
      <c r="B90" s="81" t="str">
        <f>IF(E90="","",VLOOKUP('OPĆI DIO'!$C$3,'OPĆI DIO'!$L$6:$U$138,9,FALSE))</f>
        <v/>
      </c>
      <c r="C90" s="124" t="str">
        <f t="shared" si="5"/>
        <v/>
      </c>
      <c r="D90" s="80" t="str">
        <f t="shared" si="6"/>
        <v/>
      </c>
      <c r="E90" s="89"/>
      <c r="F90" s="128" t="str">
        <f t="shared" si="7"/>
        <v/>
      </c>
      <c r="G90" s="122"/>
      <c r="H90" s="122"/>
      <c r="I90" s="122"/>
      <c r="J90" s="89"/>
      <c r="L90" t="str">
        <f t="shared" si="8"/>
        <v/>
      </c>
      <c r="M90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1" t="str">
        <f>IF(E91="","",VLOOKUP('OPĆI DIO'!$C$3,'OPĆI DIO'!$L$6:$U$138,10,FALSE))</f>
        <v/>
      </c>
      <c r="B91" s="81" t="str">
        <f>IF(E91="","",VLOOKUP('OPĆI DIO'!$C$3,'OPĆI DIO'!$L$6:$U$138,9,FALSE))</f>
        <v/>
      </c>
      <c r="C91" s="124" t="str">
        <f t="shared" si="5"/>
        <v/>
      </c>
      <c r="D91" s="80" t="str">
        <f t="shared" si="6"/>
        <v/>
      </c>
      <c r="E91" s="89"/>
      <c r="F91" s="128" t="str">
        <f t="shared" si="7"/>
        <v/>
      </c>
      <c r="G91" s="122"/>
      <c r="H91" s="122"/>
      <c r="I91" s="122"/>
      <c r="J91" s="89"/>
      <c r="L91" t="str">
        <f t="shared" si="8"/>
        <v/>
      </c>
      <c r="M91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1" t="str">
        <f>IF(E92="","",VLOOKUP('OPĆI DIO'!$C$3,'OPĆI DIO'!$L$6:$U$138,10,FALSE))</f>
        <v/>
      </c>
      <c r="B92" s="81" t="str">
        <f>IF(E92="","",VLOOKUP('OPĆI DIO'!$C$3,'OPĆI DIO'!$L$6:$U$138,9,FALSE))</f>
        <v/>
      </c>
      <c r="C92" s="124" t="str">
        <f t="shared" si="5"/>
        <v/>
      </c>
      <c r="D92" s="80" t="str">
        <f t="shared" si="6"/>
        <v/>
      </c>
      <c r="E92" s="89"/>
      <c r="F92" s="128" t="str">
        <f t="shared" si="7"/>
        <v/>
      </c>
      <c r="G92" s="122"/>
      <c r="H92" s="122"/>
      <c r="I92" s="122"/>
      <c r="J92" s="89"/>
      <c r="L92" t="str">
        <f t="shared" si="8"/>
        <v/>
      </c>
      <c r="M92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1" t="str">
        <f>IF(E93="","",VLOOKUP('OPĆI DIO'!$C$3,'OPĆI DIO'!$L$6:$U$138,10,FALSE))</f>
        <v/>
      </c>
      <c r="B93" s="81" t="str">
        <f>IF(E93="","",VLOOKUP('OPĆI DIO'!$C$3,'OPĆI DIO'!$L$6:$U$138,9,FALSE))</f>
        <v/>
      </c>
      <c r="C93" s="124" t="str">
        <f t="shared" si="5"/>
        <v/>
      </c>
      <c r="D93" s="80" t="str">
        <f t="shared" si="6"/>
        <v/>
      </c>
      <c r="E93" s="89"/>
      <c r="F93" s="128" t="str">
        <f t="shared" si="7"/>
        <v/>
      </c>
      <c r="G93" s="122"/>
      <c r="H93" s="122"/>
      <c r="I93" s="122"/>
      <c r="J93" s="89"/>
      <c r="L93" t="str">
        <f t="shared" si="8"/>
        <v/>
      </c>
      <c r="M93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1" t="str">
        <f>IF(E94="","",VLOOKUP('OPĆI DIO'!$C$3,'OPĆI DIO'!$L$6:$U$138,10,FALSE))</f>
        <v/>
      </c>
      <c r="B94" s="81" t="str">
        <f>IF(E94="","",VLOOKUP('OPĆI DIO'!$C$3,'OPĆI DIO'!$L$6:$U$138,9,FALSE))</f>
        <v/>
      </c>
      <c r="C94" s="124" t="str">
        <f t="shared" si="5"/>
        <v/>
      </c>
      <c r="D94" s="80" t="str">
        <f t="shared" si="6"/>
        <v/>
      </c>
      <c r="E94" s="89"/>
      <c r="F94" s="128" t="str">
        <f t="shared" si="7"/>
        <v/>
      </c>
      <c r="G94" s="122"/>
      <c r="H94" s="122"/>
      <c r="I94" s="122"/>
      <c r="J94" s="89"/>
      <c r="L94" t="str">
        <f t="shared" si="8"/>
        <v/>
      </c>
      <c r="M94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1" t="str">
        <f>IF(E95="","",VLOOKUP('OPĆI DIO'!$C$3,'OPĆI DIO'!$L$6:$U$138,10,FALSE))</f>
        <v/>
      </c>
      <c r="B95" s="81" t="str">
        <f>IF(E95="","",VLOOKUP('OPĆI DIO'!$C$3,'OPĆI DIO'!$L$6:$U$138,9,FALSE))</f>
        <v/>
      </c>
      <c r="C95" s="124" t="str">
        <f t="shared" si="5"/>
        <v/>
      </c>
      <c r="D95" s="80" t="str">
        <f t="shared" si="6"/>
        <v/>
      </c>
      <c r="E95" s="89"/>
      <c r="F95" s="128" t="str">
        <f t="shared" si="7"/>
        <v/>
      </c>
      <c r="G95" s="122"/>
      <c r="H95" s="122"/>
      <c r="I95" s="122"/>
      <c r="J95" s="89"/>
      <c r="L95" t="str">
        <f t="shared" si="8"/>
        <v/>
      </c>
      <c r="M95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1" t="str">
        <f>IF(E96="","",VLOOKUP('OPĆI DIO'!$C$3,'OPĆI DIO'!$L$6:$U$138,10,FALSE))</f>
        <v/>
      </c>
      <c r="B96" s="81" t="str">
        <f>IF(E96="","",VLOOKUP('OPĆI DIO'!$C$3,'OPĆI DIO'!$L$6:$U$138,9,FALSE))</f>
        <v/>
      </c>
      <c r="C96" s="124" t="str">
        <f t="shared" si="5"/>
        <v/>
      </c>
      <c r="D96" s="80" t="str">
        <f t="shared" si="6"/>
        <v/>
      </c>
      <c r="E96" s="89"/>
      <c r="F96" s="128" t="str">
        <f t="shared" si="7"/>
        <v/>
      </c>
      <c r="G96" s="122"/>
      <c r="H96" s="122"/>
      <c r="I96" s="122"/>
      <c r="J96" s="89"/>
      <c r="L96" t="str">
        <f t="shared" si="8"/>
        <v/>
      </c>
      <c r="M96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1" t="str">
        <f>IF(E97="","",VLOOKUP('OPĆI DIO'!$C$3,'OPĆI DIO'!$L$6:$U$138,10,FALSE))</f>
        <v/>
      </c>
      <c r="B97" s="81" t="str">
        <f>IF(E97="","",VLOOKUP('OPĆI DIO'!$C$3,'OPĆI DIO'!$L$6:$U$138,9,FALSE))</f>
        <v/>
      </c>
      <c r="C97" s="124" t="str">
        <f t="shared" si="5"/>
        <v/>
      </c>
      <c r="D97" s="80" t="str">
        <f t="shared" si="6"/>
        <v/>
      </c>
      <c r="E97" s="89"/>
      <c r="F97" s="128" t="str">
        <f t="shared" si="7"/>
        <v/>
      </c>
      <c r="G97" s="122"/>
      <c r="H97" s="122"/>
      <c r="I97" s="122"/>
      <c r="J97" s="89"/>
      <c r="L97" t="str">
        <f t="shared" si="8"/>
        <v/>
      </c>
      <c r="M97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1" t="str">
        <f>IF(E98="","",VLOOKUP('OPĆI DIO'!$C$3,'OPĆI DIO'!$L$6:$U$138,10,FALSE))</f>
        <v/>
      </c>
      <c r="B98" s="81" t="str">
        <f>IF(E98="","",VLOOKUP('OPĆI DIO'!$C$3,'OPĆI DIO'!$L$6:$U$138,9,FALSE))</f>
        <v/>
      </c>
      <c r="C98" s="124" t="str">
        <f t="shared" si="5"/>
        <v/>
      </c>
      <c r="D98" s="80" t="str">
        <f t="shared" si="6"/>
        <v/>
      </c>
      <c r="E98" s="89"/>
      <c r="F98" s="128" t="str">
        <f t="shared" si="7"/>
        <v/>
      </c>
      <c r="G98" s="122"/>
      <c r="H98" s="122"/>
      <c r="I98" s="122"/>
      <c r="J98" s="89"/>
      <c r="L98" t="str">
        <f t="shared" si="8"/>
        <v/>
      </c>
      <c r="M98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1" t="str">
        <f>IF(E99="","",VLOOKUP('OPĆI DIO'!$C$3,'OPĆI DIO'!$L$6:$U$138,10,FALSE))</f>
        <v/>
      </c>
      <c r="B99" s="81" t="str">
        <f>IF(E99="","",VLOOKUP('OPĆI DIO'!$C$3,'OPĆI DIO'!$L$6:$U$138,9,FALSE))</f>
        <v/>
      </c>
      <c r="C99" s="124" t="str">
        <f t="shared" si="5"/>
        <v/>
      </c>
      <c r="D99" s="80" t="str">
        <f t="shared" si="6"/>
        <v/>
      </c>
      <c r="E99" s="89"/>
      <c r="F99" s="128" t="str">
        <f t="shared" si="7"/>
        <v/>
      </c>
      <c r="G99" s="122"/>
      <c r="H99" s="122"/>
      <c r="I99" s="122"/>
      <c r="J99" s="89"/>
      <c r="L99" t="str">
        <f t="shared" si="8"/>
        <v/>
      </c>
      <c r="M99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1" t="str">
        <f>IF(E100="","",VLOOKUP('OPĆI DIO'!$C$3,'OPĆI DIO'!$L$6:$U$138,10,FALSE))</f>
        <v/>
      </c>
      <c r="B100" s="81" t="str">
        <f>IF(E100="","",VLOOKUP('OPĆI DIO'!$C$3,'OPĆI DIO'!$L$6:$U$138,9,FALSE))</f>
        <v/>
      </c>
      <c r="C100" s="124" t="str">
        <f t="shared" si="5"/>
        <v/>
      </c>
      <c r="D100" s="80" t="str">
        <f t="shared" si="6"/>
        <v/>
      </c>
      <c r="E100" s="89"/>
      <c r="F100" s="128" t="str">
        <f t="shared" si="7"/>
        <v/>
      </c>
      <c r="G100" s="122"/>
      <c r="H100" s="122"/>
      <c r="I100" s="122"/>
      <c r="J100" s="89"/>
      <c r="L100" t="str">
        <f t="shared" si="8"/>
        <v/>
      </c>
      <c r="M100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1" t="str">
        <f>IF(E101="","",VLOOKUP('OPĆI DIO'!$C$3,'OPĆI DIO'!$L$6:$U$138,10,FALSE))</f>
        <v/>
      </c>
      <c r="B101" s="81" t="str">
        <f>IF(E101="","",VLOOKUP('OPĆI DIO'!$C$3,'OPĆI DIO'!$L$6:$U$138,9,FALSE))</f>
        <v/>
      </c>
      <c r="C101" s="124" t="str">
        <f t="shared" si="5"/>
        <v/>
      </c>
      <c r="D101" s="80" t="str">
        <f t="shared" si="6"/>
        <v/>
      </c>
      <c r="E101" s="89"/>
      <c r="F101" s="128" t="str">
        <f t="shared" si="7"/>
        <v/>
      </c>
      <c r="G101" s="122"/>
      <c r="H101" s="122"/>
      <c r="I101" s="122"/>
      <c r="J101" s="89"/>
      <c r="L101" t="str">
        <f t="shared" si="8"/>
        <v/>
      </c>
      <c r="M101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1" t="str">
        <f>IF(E102="","",VLOOKUP('OPĆI DIO'!$C$3,'OPĆI DIO'!$L$6:$U$138,10,FALSE))</f>
        <v/>
      </c>
      <c r="B102" s="81" t="str">
        <f>IF(E102="","",VLOOKUP('OPĆI DIO'!$C$3,'OPĆI DIO'!$L$6:$U$138,9,FALSE))</f>
        <v/>
      </c>
      <c r="C102" s="124" t="str">
        <f t="shared" si="5"/>
        <v/>
      </c>
      <c r="D102" s="80" t="str">
        <f t="shared" si="6"/>
        <v/>
      </c>
      <c r="E102" s="89"/>
      <c r="F102" s="128" t="str">
        <f t="shared" si="7"/>
        <v/>
      </c>
      <c r="G102" s="122"/>
      <c r="H102" s="122"/>
      <c r="I102" s="122"/>
      <c r="J102" s="89"/>
      <c r="L102" t="str">
        <f t="shared" si="8"/>
        <v/>
      </c>
      <c r="M102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1" t="str">
        <f>IF(E103="","",VLOOKUP('OPĆI DIO'!$C$3,'OPĆI DIO'!$L$6:$U$138,10,FALSE))</f>
        <v/>
      </c>
      <c r="B103" s="81" t="str">
        <f>IF(E103="","",VLOOKUP('OPĆI DIO'!$C$3,'OPĆI DIO'!$L$6:$U$138,9,FALSE))</f>
        <v/>
      </c>
      <c r="C103" s="124" t="str">
        <f t="shared" si="5"/>
        <v/>
      </c>
      <c r="D103" s="80" t="str">
        <f t="shared" si="6"/>
        <v/>
      </c>
      <c r="E103" s="89"/>
      <c r="F103" s="128" t="str">
        <f t="shared" si="7"/>
        <v/>
      </c>
      <c r="G103" s="122"/>
      <c r="H103" s="122"/>
      <c r="I103" s="122"/>
      <c r="J103" s="89"/>
      <c r="L103" t="str">
        <f t="shared" si="8"/>
        <v/>
      </c>
      <c r="M103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1" t="str">
        <f>IF(E104="","",VLOOKUP('OPĆI DIO'!$C$3,'OPĆI DIO'!$L$6:$U$138,10,FALSE))</f>
        <v/>
      </c>
      <c r="B104" s="81" t="str">
        <f>IF(E104="","",VLOOKUP('OPĆI DIO'!$C$3,'OPĆI DIO'!$L$6:$U$138,9,FALSE))</f>
        <v/>
      </c>
      <c r="C104" s="124" t="str">
        <f t="shared" si="5"/>
        <v/>
      </c>
      <c r="D104" s="80" t="str">
        <f t="shared" si="6"/>
        <v/>
      </c>
      <c r="E104" s="89"/>
      <c r="F104" s="128" t="str">
        <f t="shared" si="7"/>
        <v/>
      </c>
      <c r="G104" s="122"/>
      <c r="H104" s="122"/>
      <c r="I104" s="122"/>
      <c r="J104" s="89"/>
      <c r="L104" t="str">
        <f t="shared" si="8"/>
        <v/>
      </c>
      <c r="M104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1" t="str">
        <f>IF(E105="","",VLOOKUP('OPĆI DIO'!$C$3,'OPĆI DIO'!$L$6:$U$138,10,FALSE))</f>
        <v/>
      </c>
      <c r="B105" s="81" t="str">
        <f>IF(E105="","",VLOOKUP('OPĆI DIO'!$C$3,'OPĆI DIO'!$L$6:$U$138,9,FALSE))</f>
        <v/>
      </c>
      <c r="C105" s="124" t="str">
        <f t="shared" si="5"/>
        <v/>
      </c>
      <c r="D105" s="80" t="str">
        <f t="shared" si="6"/>
        <v/>
      </c>
      <c r="E105" s="89"/>
      <c r="F105" s="128" t="str">
        <f t="shared" si="7"/>
        <v/>
      </c>
      <c r="G105" s="122"/>
      <c r="H105" s="122"/>
      <c r="I105" s="122"/>
      <c r="J105" s="89"/>
      <c r="L105" t="str">
        <f t="shared" si="8"/>
        <v/>
      </c>
      <c r="M105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1" t="str">
        <f>IF(E106="","",VLOOKUP('OPĆI DIO'!$C$3,'OPĆI DIO'!$L$6:$U$138,10,FALSE))</f>
        <v/>
      </c>
      <c r="B106" s="81" t="str">
        <f>IF(E106="","",VLOOKUP('OPĆI DIO'!$C$3,'OPĆI DIO'!$L$6:$U$138,9,FALSE))</f>
        <v/>
      </c>
      <c r="C106" s="124" t="str">
        <f t="shared" si="5"/>
        <v/>
      </c>
      <c r="D106" s="80" t="str">
        <f t="shared" si="6"/>
        <v/>
      </c>
      <c r="E106" s="89"/>
      <c r="F106" s="128" t="str">
        <f t="shared" si="7"/>
        <v/>
      </c>
      <c r="G106" s="122"/>
      <c r="H106" s="122"/>
      <c r="I106" s="122"/>
      <c r="J106" s="89"/>
      <c r="L106" t="str">
        <f t="shared" si="8"/>
        <v/>
      </c>
      <c r="M106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1" t="str">
        <f>IF(E107="","",VLOOKUP('OPĆI DIO'!$C$3,'OPĆI DIO'!$L$6:$U$138,10,FALSE))</f>
        <v/>
      </c>
      <c r="B107" s="81" t="str">
        <f>IF(E107="","",VLOOKUP('OPĆI DIO'!$C$3,'OPĆI DIO'!$L$6:$U$138,9,FALSE))</f>
        <v/>
      </c>
      <c r="C107" s="124" t="str">
        <f t="shared" si="5"/>
        <v/>
      </c>
      <c r="D107" s="80" t="str">
        <f t="shared" si="6"/>
        <v/>
      </c>
      <c r="E107" s="89"/>
      <c r="F107" s="128" t="str">
        <f t="shared" si="7"/>
        <v/>
      </c>
      <c r="G107" s="122"/>
      <c r="H107" s="122"/>
      <c r="I107" s="122"/>
      <c r="J107" s="89"/>
      <c r="L107" t="str">
        <f t="shared" si="8"/>
        <v/>
      </c>
      <c r="M107" t="str">
        <f t="shared" si="9"/>
        <v/>
      </c>
      <c r="R107" s="186">
        <v>841320150</v>
      </c>
      <c r="S107" s="186" t="s">
        <v>3534</v>
      </c>
      <c r="T107" s="186">
        <v>81</v>
      </c>
      <c r="U107" s="186" t="s">
        <v>1698</v>
      </c>
      <c r="V107" s="143">
        <v>841</v>
      </c>
      <c r="W107" s="143">
        <v>84</v>
      </c>
    </row>
    <row r="108" spans="1:23">
      <c r="A108" s="81" t="str">
        <f>IF(E108="","",VLOOKUP('OPĆI DIO'!$C$3,'OPĆI DIO'!$L$6:$U$138,10,FALSE))</f>
        <v/>
      </c>
      <c r="B108" s="81" t="str">
        <f>IF(E108="","",VLOOKUP('OPĆI DIO'!$C$3,'OPĆI DIO'!$L$6:$U$138,9,FALSE))</f>
        <v/>
      </c>
      <c r="C108" s="124" t="str">
        <f t="shared" si="5"/>
        <v/>
      </c>
      <c r="D108" s="80" t="str">
        <f t="shared" si="6"/>
        <v/>
      </c>
      <c r="E108" s="89"/>
      <c r="F108" s="128" t="str">
        <f t="shared" si="7"/>
        <v/>
      </c>
      <c r="G108" s="122"/>
      <c r="H108" s="122"/>
      <c r="I108" s="122"/>
      <c r="J108" s="89"/>
      <c r="L108" t="str">
        <f t="shared" si="8"/>
        <v/>
      </c>
      <c r="M108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1" t="str">
        <f>IF(E109="","",VLOOKUP('OPĆI DIO'!$C$3,'OPĆI DIO'!$L$6:$U$138,10,FALSE))</f>
        <v/>
      </c>
      <c r="B109" s="81" t="str">
        <f>IF(E109="","",VLOOKUP('OPĆI DIO'!$C$3,'OPĆI DIO'!$L$6:$U$138,9,FALSE))</f>
        <v/>
      </c>
      <c r="C109" s="124" t="str">
        <f t="shared" si="5"/>
        <v/>
      </c>
      <c r="D109" s="80" t="str">
        <f t="shared" si="6"/>
        <v/>
      </c>
      <c r="E109" s="89"/>
      <c r="F109" s="128" t="str">
        <f t="shared" si="7"/>
        <v/>
      </c>
      <c r="G109" s="122"/>
      <c r="H109" s="122"/>
      <c r="I109" s="122"/>
      <c r="J109" s="89"/>
      <c r="L109" t="str">
        <f t="shared" si="8"/>
        <v/>
      </c>
      <c r="M109" t="str">
        <f t="shared" si="9"/>
        <v/>
      </c>
    </row>
    <row r="110" spans="1:23">
      <c r="A110" s="81" t="str">
        <f>IF(E110="","",VLOOKUP('OPĆI DIO'!$C$3,'OPĆI DIO'!$L$6:$U$138,10,FALSE))</f>
        <v/>
      </c>
      <c r="B110" s="81" t="str">
        <f>IF(E110="","",VLOOKUP('OPĆI DIO'!$C$3,'OPĆI DIO'!$L$6:$U$138,9,FALSE))</f>
        <v/>
      </c>
      <c r="C110" s="124" t="str">
        <f t="shared" si="5"/>
        <v/>
      </c>
      <c r="D110" s="80" t="str">
        <f t="shared" si="6"/>
        <v/>
      </c>
      <c r="E110" s="89"/>
      <c r="F110" s="128" t="str">
        <f t="shared" si="7"/>
        <v/>
      </c>
      <c r="G110" s="122"/>
      <c r="H110" s="122"/>
      <c r="I110" s="122"/>
      <c r="J110" s="89"/>
      <c r="L110" t="str">
        <f t="shared" si="8"/>
        <v/>
      </c>
      <c r="M110" t="str">
        <f t="shared" si="9"/>
        <v/>
      </c>
    </row>
    <row r="111" spans="1:23">
      <c r="A111" s="81" t="str">
        <f>IF(E111="","",VLOOKUP('OPĆI DIO'!$C$3,'OPĆI DIO'!$L$6:$U$138,10,FALSE))</f>
        <v/>
      </c>
      <c r="B111" s="81" t="str">
        <f>IF(E111="","",VLOOKUP('OPĆI DIO'!$C$3,'OPĆI DIO'!$L$6:$U$138,9,FALSE))</f>
        <v/>
      </c>
      <c r="C111" s="124" t="str">
        <f t="shared" si="5"/>
        <v/>
      </c>
      <c r="D111" s="80" t="str">
        <f t="shared" si="6"/>
        <v/>
      </c>
      <c r="E111" s="89"/>
      <c r="F111" s="128" t="str">
        <f t="shared" si="7"/>
        <v/>
      </c>
      <c r="G111" s="122"/>
      <c r="H111" s="122"/>
      <c r="I111" s="122"/>
      <c r="J111" s="89"/>
      <c r="L111" t="str">
        <f t="shared" si="8"/>
        <v/>
      </c>
      <c r="M111" t="str">
        <f t="shared" si="9"/>
        <v/>
      </c>
    </row>
    <row r="112" spans="1:23">
      <c r="A112" s="81" t="str">
        <f>IF(E112="","",VLOOKUP('OPĆI DIO'!$C$3,'OPĆI DIO'!$L$6:$U$138,10,FALSE))</f>
        <v/>
      </c>
      <c r="B112" s="81" t="str">
        <f>IF(E112="","",VLOOKUP('OPĆI DIO'!$C$3,'OPĆI DIO'!$L$6:$U$138,9,FALSE))</f>
        <v/>
      </c>
      <c r="C112" s="124" t="str">
        <f t="shared" si="5"/>
        <v/>
      </c>
      <c r="D112" s="80" t="str">
        <f t="shared" si="6"/>
        <v/>
      </c>
      <c r="E112" s="89"/>
      <c r="F112" s="128" t="str">
        <f t="shared" si="7"/>
        <v/>
      </c>
      <c r="G112" s="122"/>
      <c r="H112" s="122"/>
      <c r="I112" s="122"/>
      <c r="J112" s="89"/>
      <c r="L112" t="str">
        <f t="shared" si="8"/>
        <v/>
      </c>
      <c r="M112" t="str">
        <f t="shared" si="9"/>
        <v/>
      </c>
    </row>
    <row r="113" spans="1:13">
      <c r="A113" s="81" t="str">
        <f>IF(E113="","",VLOOKUP('OPĆI DIO'!$C$3,'OPĆI DIO'!$L$6:$U$138,10,FALSE))</f>
        <v/>
      </c>
      <c r="B113" s="81" t="str">
        <f>IF(E113="","",VLOOKUP('OPĆI DIO'!$C$3,'OPĆI DIO'!$L$6:$U$138,9,FALSE))</f>
        <v/>
      </c>
      <c r="C113" s="124" t="str">
        <f t="shared" si="5"/>
        <v/>
      </c>
      <c r="D113" s="80" t="str">
        <f t="shared" si="6"/>
        <v/>
      </c>
      <c r="E113" s="89"/>
      <c r="F113" s="128" t="str">
        <f t="shared" si="7"/>
        <v/>
      </c>
      <c r="G113" s="122"/>
      <c r="H113" s="122"/>
      <c r="I113" s="122"/>
      <c r="J113" s="89"/>
      <c r="L113" t="str">
        <f t="shared" si="8"/>
        <v/>
      </c>
      <c r="M113" t="str">
        <f t="shared" si="9"/>
        <v/>
      </c>
    </row>
    <row r="114" spans="1:13">
      <c r="A114" s="81" t="str">
        <f>IF(E114="","",VLOOKUP('OPĆI DIO'!$C$3,'OPĆI DIO'!$L$6:$U$138,10,FALSE))</f>
        <v/>
      </c>
      <c r="B114" s="81" t="str">
        <f>IF(E114="","",VLOOKUP('OPĆI DIO'!$C$3,'OPĆI DIO'!$L$6:$U$138,9,FALSE))</f>
        <v/>
      </c>
      <c r="C114" s="124" t="str">
        <f t="shared" si="5"/>
        <v/>
      </c>
      <c r="D114" s="80" t="str">
        <f t="shared" si="6"/>
        <v/>
      </c>
      <c r="E114" s="89"/>
      <c r="F114" s="128" t="str">
        <f t="shared" si="7"/>
        <v/>
      </c>
      <c r="G114" s="122"/>
      <c r="H114" s="122"/>
      <c r="I114" s="122"/>
      <c r="J114" s="89"/>
      <c r="L114" t="str">
        <f t="shared" si="8"/>
        <v/>
      </c>
      <c r="M114" t="str">
        <f t="shared" si="9"/>
        <v/>
      </c>
    </row>
    <row r="115" spans="1:13">
      <c r="A115" s="81" t="str">
        <f>IF(E115="","",VLOOKUP('OPĆI DIO'!$C$3,'OPĆI DIO'!$L$6:$U$138,10,FALSE))</f>
        <v/>
      </c>
      <c r="B115" s="81" t="str">
        <f>IF(E115="","",VLOOKUP('OPĆI DIO'!$C$3,'OPĆI DIO'!$L$6:$U$138,9,FALSE))</f>
        <v/>
      </c>
      <c r="C115" s="124" t="str">
        <f t="shared" si="5"/>
        <v/>
      </c>
      <c r="D115" s="80" t="str">
        <f t="shared" si="6"/>
        <v/>
      </c>
      <c r="E115" s="89"/>
      <c r="F115" s="128" t="str">
        <f t="shared" si="7"/>
        <v/>
      </c>
      <c r="G115" s="122"/>
      <c r="H115" s="122"/>
      <c r="I115" s="122"/>
      <c r="J115" s="89"/>
      <c r="L115" t="str">
        <f t="shared" si="8"/>
        <v/>
      </c>
      <c r="M115" t="str">
        <f t="shared" si="9"/>
        <v/>
      </c>
    </row>
    <row r="116" spans="1:13">
      <c r="A116" s="81" t="str">
        <f>IF(E116="","",VLOOKUP('OPĆI DIO'!$C$3,'OPĆI DIO'!$L$6:$U$138,10,FALSE))</f>
        <v/>
      </c>
      <c r="B116" s="81" t="str">
        <f>IF(E116="","",VLOOKUP('OPĆI DIO'!$C$3,'OPĆI DIO'!$L$6:$U$138,9,FALSE))</f>
        <v/>
      </c>
      <c r="C116" s="124" t="str">
        <f t="shared" si="5"/>
        <v/>
      </c>
      <c r="D116" s="80" t="str">
        <f t="shared" si="6"/>
        <v/>
      </c>
      <c r="E116" s="89"/>
      <c r="F116" s="128" t="str">
        <f t="shared" si="7"/>
        <v/>
      </c>
      <c r="G116" s="122"/>
      <c r="H116" s="122"/>
      <c r="I116" s="122"/>
      <c r="J116" s="89"/>
      <c r="L116" t="str">
        <f t="shared" si="8"/>
        <v/>
      </c>
      <c r="M116" t="str">
        <f t="shared" si="9"/>
        <v/>
      </c>
    </row>
    <row r="117" spans="1:13">
      <c r="A117" s="81" t="str">
        <f>IF(E117="","",VLOOKUP('OPĆI DIO'!$C$3,'OPĆI DIO'!$L$6:$U$138,10,FALSE))</f>
        <v/>
      </c>
      <c r="B117" s="81" t="str">
        <f>IF(E117="","",VLOOKUP('OPĆI DIO'!$C$3,'OPĆI DIO'!$L$6:$U$138,9,FALSE))</f>
        <v/>
      </c>
      <c r="C117" s="124" t="str">
        <f t="shared" si="5"/>
        <v/>
      </c>
      <c r="D117" s="80" t="str">
        <f t="shared" si="6"/>
        <v/>
      </c>
      <c r="E117" s="89"/>
      <c r="F117" s="128" t="str">
        <f t="shared" si="7"/>
        <v/>
      </c>
      <c r="G117" s="122"/>
      <c r="H117" s="122"/>
      <c r="I117" s="122"/>
      <c r="J117" s="89"/>
      <c r="L117" t="str">
        <f t="shared" si="8"/>
        <v/>
      </c>
      <c r="M117" t="str">
        <f t="shared" si="9"/>
        <v/>
      </c>
    </row>
    <row r="118" spans="1:13">
      <c r="A118" s="81" t="str">
        <f>IF(E118="","",VLOOKUP('OPĆI DIO'!$C$3,'OPĆI DIO'!$L$6:$U$138,10,FALSE))</f>
        <v/>
      </c>
      <c r="B118" s="81" t="str">
        <f>IF(E118="","",VLOOKUP('OPĆI DIO'!$C$3,'OPĆI DIO'!$L$6:$U$138,9,FALSE))</f>
        <v/>
      </c>
      <c r="C118" s="124" t="str">
        <f t="shared" si="5"/>
        <v/>
      </c>
      <c r="D118" s="80" t="str">
        <f t="shared" si="6"/>
        <v/>
      </c>
      <c r="E118" s="89"/>
      <c r="F118" s="128" t="str">
        <f t="shared" si="7"/>
        <v/>
      </c>
      <c r="G118" s="122"/>
      <c r="H118" s="122"/>
      <c r="I118" s="122"/>
      <c r="J118" s="89"/>
      <c r="L118" t="str">
        <f t="shared" si="8"/>
        <v/>
      </c>
      <c r="M118" t="str">
        <f t="shared" si="9"/>
        <v/>
      </c>
    </row>
    <row r="119" spans="1:13">
      <c r="A119" s="81" t="str">
        <f>IF(E119="","",VLOOKUP('OPĆI DIO'!$C$3,'OPĆI DIO'!$L$6:$U$138,10,FALSE))</f>
        <v/>
      </c>
      <c r="B119" s="81" t="str">
        <f>IF(E119="","",VLOOKUP('OPĆI DIO'!$C$3,'OPĆI DIO'!$L$6:$U$138,9,FALSE))</f>
        <v/>
      </c>
      <c r="C119" s="124" t="str">
        <f t="shared" si="5"/>
        <v/>
      </c>
      <c r="D119" s="80" t="str">
        <f t="shared" si="6"/>
        <v/>
      </c>
      <c r="E119" s="89"/>
      <c r="F119" s="128" t="str">
        <f t="shared" si="7"/>
        <v/>
      </c>
      <c r="G119" s="122"/>
      <c r="H119" s="122"/>
      <c r="I119" s="122"/>
      <c r="J119" s="89"/>
      <c r="L119" t="str">
        <f t="shared" si="8"/>
        <v/>
      </c>
      <c r="M119" t="str">
        <f t="shared" si="9"/>
        <v/>
      </c>
    </row>
    <row r="120" spans="1:13">
      <c r="A120" s="81" t="str">
        <f>IF(E120="","",VLOOKUP('OPĆI DIO'!$C$3,'OPĆI DIO'!$L$6:$U$138,10,FALSE))</f>
        <v/>
      </c>
      <c r="B120" s="81" t="str">
        <f>IF(E120="","",VLOOKUP('OPĆI DIO'!$C$3,'OPĆI DIO'!$L$6:$U$138,9,FALSE))</f>
        <v/>
      </c>
      <c r="C120" s="124" t="str">
        <f t="shared" si="5"/>
        <v/>
      </c>
      <c r="D120" s="80" t="str">
        <f t="shared" si="6"/>
        <v/>
      </c>
      <c r="E120" s="89"/>
      <c r="F120" s="128" t="str">
        <f t="shared" si="7"/>
        <v/>
      </c>
      <c r="G120" s="122"/>
      <c r="H120" s="122"/>
      <c r="I120" s="122"/>
      <c r="J120" s="89"/>
      <c r="L120" t="str">
        <f t="shared" si="8"/>
        <v/>
      </c>
      <c r="M120" t="str">
        <f t="shared" si="9"/>
        <v/>
      </c>
    </row>
    <row r="121" spans="1:13">
      <c r="A121" s="81" t="str">
        <f>IF(E121="","",VLOOKUP('OPĆI DIO'!$C$3,'OPĆI DIO'!$L$6:$U$138,10,FALSE))</f>
        <v/>
      </c>
      <c r="B121" s="81" t="str">
        <f>IF(E121="","",VLOOKUP('OPĆI DIO'!$C$3,'OPĆI DIO'!$L$6:$U$138,9,FALSE))</f>
        <v/>
      </c>
      <c r="C121" s="124" t="str">
        <f t="shared" si="5"/>
        <v/>
      </c>
      <c r="D121" s="80" t="str">
        <f t="shared" si="6"/>
        <v/>
      </c>
      <c r="E121" s="89"/>
      <c r="F121" s="128" t="str">
        <f t="shared" si="7"/>
        <v/>
      </c>
      <c r="G121" s="122"/>
      <c r="H121" s="122"/>
      <c r="I121" s="122"/>
      <c r="J121" s="89"/>
      <c r="L121" t="str">
        <f t="shared" si="8"/>
        <v/>
      </c>
      <c r="M121" t="str">
        <f t="shared" si="9"/>
        <v/>
      </c>
    </row>
    <row r="122" spans="1:13">
      <c r="A122" s="81" t="str">
        <f>IF(E122="","",VLOOKUP('OPĆI DIO'!$C$3,'OPĆI DIO'!$L$6:$U$138,10,FALSE))</f>
        <v/>
      </c>
      <c r="B122" s="81" t="str">
        <f>IF(E122="","",VLOOKUP('OPĆI DIO'!$C$3,'OPĆI DIO'!$L$6:$U$138,9,FALSE))</f>
        <v/>
      </c>
      <c r="C122" s="124" t="str">
        <f t="shared" si="5"/>
        <v/>
      </c>
      <c r="D122" s="80" t="str">
        <f t="shared" si="6"/>
        <v/>
      </c>
      <c r="E122" s="89"/>
      <c r="F122" s="128" t="str">
        <f t="shared" si="7"/>
        <v/>
      </c>
      <c r="G122" s="122"/>
      <c r="H122" s="122"/>
      <c r="I122" s="122"/>
      <c r="J122" s="89"/>
      <c r="L122" t="str">
        <f t="shared" si="8"/>
        <v/>
      </c>
      <c r="M122" t="str">
        <f t="shared" si="9"/>
        <v/>
      </c>
    </row>
    <row r="123" spans="1:13">
      <c r="A123" s="81" t="str">
        <f>IF(E123="","",VLOOKUP('OPĆI DIO'!$C$3,'OPĆI DIO'!$L$6:$U$138,10,FALSE))</f>
        <v/>
      </c>
      <c r="B123" s="81" t="str">
        <f>IF(E123="","",VLOOKUP('OPĆI DIO'!$C$3,'OPĆI DIO'!$L$6:$U$138,9,FALSE))</f>
        <v/>
      </c>
      <c r="C123" s="124" t="str">
        <f t="shared" si="5"/>
        <v/>
      </c>
      <c r="D123" s="80" t="str">
        <f t="shared" si="6"/>
        <v/>
      </c>
      <c r="E123" s="89"/>
      <c r="F123" s="128" t="str">
        <f t="shared" si="7"/>
        <v/>
      </c>
      <c r="G123" s="122"/>
      <c r="H123" s="122"/>
      <c r="I123" s="122"/>
      <c r="J123" s="89"/>
      <c r="L123" t="str">
        <f t="shared" si="8"/>
        <v/>
      </c>
      <c r="M123" t="str">
        <f t="shared" si="9"/>
        <v/>
      </c>
    </row>
    <row r="124" spans="1:13">
      <c r="A124" s="81" t="str">
        <f>IF(E124="","",VLOOKUP('OPĆI DIO'!$C$3,'OPĆI DIO'!$L$6:$U$138,10,FALSE))</f>
        <v/>
      </c>
      <c r="B124" s="81" t="str">
        <f>IF(E124="","",VLOOKUP('OPĆI DIO'!$C$3,'OPĆI DIO'!$L$6:$U$138,9,FALSE))</f>
        <v/>
      </c>
      <c r="C124" s="124" t="str">
        <f t="shared" si="5"/>
        <v/>
      </c>
      <c r="D124" s="80" t="str">
        <f t="shared" si="6"/>
        <v/>
      </c>
      <c r="E124" s="89"/>
      <c r="F124" s="128" t="str">
        <f t="shared" si="7"/>
        <v/>
      </c>
      <c r="G124" s="122"/>
      <c r="H124" s="122"/>
      <c r="I124" s="122"/>
      <c r="J124" s="89"/>
      <c r="L124" t="str">
        <f t="shared" si="8"/>
        <v/>
      </c>
      <c r="M124" t="str">
        <f t="shared" si="9"/>
        <v/>
      </c>
    </row>
    <row r="125" spans="1:13">
      <c r="A125" s="81" t="str">
        <f>IF(E125="","",VLOOKUP('OPĆI DIO'!$C$3,'OPĆI DIO'!$L$6:$U$138,10,FALSE))</f>
        <v/>
      </c>
      <c r="B125" s="81" t="str">
        <f>IF(E125="","",VLOOKUP('OPĆI DIO'!$C$3,'OPĆI DIO'!$L$6:$U$138,9,FALSE))</f>
        <v/>
      </c>
      <c r="C125" s="124" t="str">
        <f t="shared" si="5"/>
        <v/>
      </c>
      <c r="D125" s="80" t="str">
        <f t="shared" si="6"/>
        <v/>
      </c>
      <c r="E125" s="89"/>
      <c r="F125" s="128" t="str">
        <f t="shared" si="7"/>
        <v/>
      </c>
      <c r="G125" s="122"/>
      <c r="H125" s="122"/>
      <c r="I125" s="122"/>
      <c r="J125" s="89"/>
      <c r="L125" t="str">
        <f t="shared" si="8"/>
        <v/>
      </c>
      <c r="M125" t="str">
        <f t="shared" si="9"/>
        <v/>
      </c>
    </row>
    <row r="126" spans="1:13">
      <c r="A126" s="81" t="str">
        <f>IF(E126="","",VLOOKUP('OPĆI DIO'!$C$3,'OPĆI DIO'!$L$6:$U$138,10,FALSE))</f>
        <v/>
      </c>
      <c r="B126" s="81" t="str">
        <f>IF(E126="","",VLOOKUP('OPĆI DIO'!$C$3,'OPĆI DIO'!$L$6:$U$138,9,FALSE))</f>
        <v/>
      </c>
      <c r="C126" s="124" t="str">
        <f t="shared" si="5"/>
        <v/>
      </c>
      <c r="D126" s="80" t="str">
        <f t="shared" si="6"/>
        <v/>
      </c>
      <c r="E126" s="89"/>
      <c r="F126" s="128" t="str">
        <f t="shared" si="7"/>
        <v/>
      </c>
      <c r="G126" s="122"/>
      <c r="H126" s="122"/>
      <c r="I126" s="122"/>
      <c r="J126" s="89"/>
      <c r="L126" t="str">
        <f t="shared" si="8"/>
        <v/>
      </c>
      <c r="M126" t="str">
        <f t="shared" si="9"/>
        <v/>
      </c>
    </row>
    <row r="127" spans="1:13">
      <c r="A127" s="81" t="str">
        <f>IF(E127="","",VLOOKUP('OPĆI DIO'!$C$3,'OPĆI DIO'!$L$6:$U$138,10,FALSE))</f>
        <v/>
      </c>
      <c r="B127" s="81" t="str">
        <f>IF(E127="","",VLOOKUP('OPĆI DIO'!$C$3,'OPĆI DIO'!$L$6:$U$138,9,FALSE))</f>
        <v/>
      </c>
      <c r="C127" s="124" t="str">
        <f t="shared" si="5"/>
        <v/>
      </c>
      <c r="D127" s="80" t="str">
        <f t="shared" si="6"/>
        <v/>
      </c>
      <c r="E127" s="89"/>
      <c r="F127" s="128" t="str">
        <f t="shared" si="7"/>
        <v/>
      </c>
      <c r="G127" s="122"/>
      <c r="H127" s="122"/>
      <c r="I127" s="122"/>
      <c r="J127" s="89"/>
      <c r="L127" t="str">
        <f t="shared" si="8"/>
        <v/>
      </c>
      <c r="M127" t="str">
        <f t="shared" si="9"/>
        <v/>
      </c>
    </row>
    <row r="128" spans="1:13">
      <c r="A128" s="81" t="str">
        <f>IF(E128="","",VLOOKUP('OPĆI DIO'!$C$3,'OPĆI DIO'!$L$6:$U$138,10,FALSE))</f>
        <v/>
      </c>
      <c r="B128" s="81" t="str">
        <f>IF(E128="","",VLOOKUP('OPĆI DIO'!$C$3,'OPĆI DIO'!$L$6:$U$138,9,FALSE))</f>
        <v/>
      </c>
      <c r="C128" s="124" t="str">
        <f t="shared" si="5"/>
        <v/>
      </c>
      <c r="D128" s="80" t="str">
        <f t="shared" si="6"/>
        <v/>
      </c>
      <c r="E128" s="89"/>
      <c r="F128" s="128" t="str">
        <f t="shared" si="7"/>
        <v/>
      </c>
      <c r="G128" s="122"/>
      <c r="H128" s="122"/>
      <c r="I128" s="122"/>
      <c r="J128" s="89"/>
      <c r="L128" t="str">
        <f t="shared" si="8"/>
        <v/>
      </c>
      <c r="M128" t="str">
        <f t="shared" si="9"/>
        <v/>
      </c>
    </row>
    <row r="129" spans="1:13">
      <c r="A129" s="81" t="str">
        <f>IF(E129="","",VLOOKUP('OPĆI DIO'!$C$3,'OPĆI DIO'!$L$6:$U$138,10,FALSE))</f>
        <v/>
      </c>
      <c r="B129" s="81" t="str">
        <f>IF(E129="","",VLOOKUP('OPĆI DIO'!$C$3,'OPĆI DIO'!$L$6:$U$138,9,FALSE))</f>
        <v/>
      </c>
      <c r="C129" s="124" t="str">
        <f t="shared" si="5"/>
        <v/>
      </c>
      <c r="D129" s="80" t="str">
        <f t="shared" si="6"/>
        <v/>
      </c>
      <c r="E129" s="89"/>
      <c r="F129" s="128" t="str">
        <f t="shared" si="7"/>
        <v/>
      </c>
      <c r="G129" s="122"/>
      <c r="H129" s="122"/>
      <c r="I129" s="122"/>
      <c r="J129" s="89"/>
      <c r="L129" t="str">
        <f t="shared" si="8"/>
        <v/>
      </c>
      <c r="M129" t="str">
        <f t="shared" si="9"/>
        <v/>
      </c>
    </row>
    <row r="130" spans="1:13">
      <c r="A130" s="81" t="str">
        <f>IF(E130="","",VLOOKUP('OPĆI DIO'!$C$3,'OPĆI DIO'!$L$6:$U$138,10,FALSE))</f>
        <v/>
      </c>
      <c r="B130" s="81" t="str">
        <f>IF(E130="","",VLOOKUP('OPĆI DIO'!$C$3,'OPĆI DIO'!$L$6:$U$138,9,FALSE))</f>
        <v/>
      </c>
      <c r="C130" s="124" t="str">
        <f t="shared" si="5"/>
        <v/>
      </c>
      <c r="D130" s="80" t="str">
        <f t="shared" si="6"/>
        <v/>
      </c>
      <c r="E130" s="89"/>
      <c r="F130" s="128" t="str">
        <f t="shared" si="7"/>
        <v/>
      </c>
      <c r="G130" s="122"/>
      <c r="H130" s="122"/>
      <c r="I130" s="122"/>
      <c r="J130" s="89"/>
      <c r="L130" t="str">
        <f t="shared" si="8"/>
        <v/>
      </c>
      <c r="M130" t="str">
        <f t="shared" si="9"/>
        <v/>
      </c>
    </row>
    <row r="131" spans="1:13">
      <c r="A131" s="81" t="str">
        <f>IF(E131="","",VLOOKUP('OPĆI DIO'!$C$3,'OPĆI DIO'!$L$6:$U$138,10,FALSE))</f>
        <v/>
      </c>
      <c r="B131" s="81" t="str">
        <f>IF(E131="","",VLOOKUP('OPĆI DIO'!$C$3,'OPĆI DIO'!$L$6:$U$138,9,FALSE))</f>
        <v/>
      </c>
      <c r="C131" s="124" t="str">
        <f t="shared" ref="C131:C194" si="10">IFERROR(VLOOKUP(E131,$R$6:$U$108,3,FALSE),"")</f>
        <v/>
      </c>
      <c r="D131" s="80" t="str">
        <f t="shared" ref="D131:D194" si="11">IFERROR(VLOOKUP(E131,$R$6:$U$108,4,FALSE),"")</f>
        <v/>
      </c>
      <c r="E131" s="89"/>
      <c r="F131" s="128" t="str">
        <f t="shared" ref="F131:F194" si="12">IFERROR(VLOOKUP(E131,$R$6:$U$108,2,FALSE),"")</f>
        <v/>
      </c>
      <c r="G131" s="122"/>
      <c r="H131" s="122"/>
      <c r="I131" s="122"/>
      <c r="J131" s="89"/>
      <c r="L131" t="str">
        <f t="shared" si="8"/>
        <v/>
      </c>
      <c r="M131" t="str">
        <f t="shared" si="9"/>
        <v/>
      </c>
    </row>
    <row r="132" spans="1:13">
      <c r="A132" s="81" t="str">
        <f>IF(E132="","",VLOOKUP('OPĆI DIO'!$C$3,'OPĆI DIO'!$L$6:$U$138,10,FALSE))</f>
        <v/>
      </c>
      <c r="B132" s="81" t="str">
        <f>IF(E132="","",VLOOKUP('OPĆI DIO'!$C$3,'OPĆI DIO'!$L$6:$U$138,9,FALSE))</f>
        <v/>
      </c>
      <c r="C132" s="124" t="str">
        <f t="shared" si="10"/>
        <v/>
      </c>
      <c r="D132" s="80" t="str">
        <f t="shared" si="11"/>
        <v/>
      </c>
      <c r="E132" s="89"/>
      <c r="F132" s="128" t="str">
        <f t="shared" si="12"/>
        <v/>
      </c>
      <c r="G132" s="122"/>
      <c r="H132" s="122"/>
      <c r="I132" s="122"/>
      <c r="J132" s="89"/>
      <c r="L132" t="str">
        <f t="shared" ref="L132:L195" si="13">LEFT(E132,2)</f>
        <v/>
      </c>
      <c r="M132" t="str">
        <f t="shared" ref="M132:M195" si="14">LEFT(E132,3)</f>
        <v/>
      </c>
    </row>
    <row r="133" spans="1:13">
      <c r="A133" s="81" t="str">
        <f>IF(E133="","",VLOOKUP('OPĆI DIO'!$C$3,'OPĆI DIO'!$L$6:$U$138,10,FALSE))</f>
        <v/>
      </c>
      <c r="B133" s="81" t="str">
        <f>IF(E133="","",VLOOKUP('OPĆI DIO'!$C$3,'OPĆI DIO'!$L$6:$U$138,9,FALSE))</f>
        <v/>
      </c>
      <c r="C133" s="124" t="str">
        <f t="shared" si="10"/>
        <v/>
      </c>
      <c r="D133" s="80" t="str">
        <f t="shared" si="11"/>
        <v/>
      </c>
      <c r="E133" s="89"/>
      <c r="F133" s="128" t="str">
        <f t="shared" si="12"/>
        <v/>
      </c>
      <c r="G133" s="122"/>
      <c r="H133" s="122"/>
      <c r="I133" s="122"/>
      <c r="J133" s="89"/>
      <c r="L133" t="str">
        <f t="shared" si="13"/>
        <v/>
      </c>
      <c r="M133" t="str">
        <f t="shared" si="14"/>
        <v/>
      </c>
    </row>
    <row r="134" spans="1:13">
      <c r="A134" s="81" t="str">
        <f>IF(E134="","",VLOOKUP('OPĆI DIO'!$C$3,'OPĆI DIO'!$L$6:$U$138,10,FALSE))</f>
        <v/>
      </c>
      <c r="B134" s="81" t="str">
        <f>IF(E134="","",VLOOKUP('OPĆI DIO'!$C$3,'OPĆI DIO'!$L$6:$U$138,9,FALSE))</f>
        <v/>
      </c>
      <c r="C134" s="124" t="str">
        <f t="shared" si="10"/>
        <v/>
      </c>
      <c r="D134" s="80" t="str">
        <f t="shared" si="11"/>
        <v/>
      </c>
      <c r="E134" s="89"/>
      <c r="F134" s="128" t="str">
        <f t="shared" si="12"/>
        <v/>
      </c>
      <c r="G134" s="122"/>
      <c r="H134" s="122"/>
      <c r="I134" s="122"/>
      <c r="J134" s="89"/>
      <c r="L134" t="str">
        <f t="shared" si="13"/>
        <v/>
      </c>
      <c r="M134" t="str">
        <f t="shared" si="14"/>
        <v/>
      </c>
    </row>
    <row r="135" spans="1:13">
      <c r="A135" s="81" t="str">
        <f>IF(E135="","",VLOOKUP('OPĆI DIO'!$C$3,'OPĆI DIO'!$L$6:$U$138,10,FALSE))</f>
        <v/>
      </c>
      <c r="B135" s="81" t="str">
        <f>IF(E135="","",VLOOKUP('OPĆI DIO'!$C$3,'OPĆI DIO'!$L$6:$U$138,9,FALSE))</f>
        <v/>
      </c>
      <c r="C135" s="124" t="str">
        <f t="shared" si="10"/>
        <v/>
      </c>
      <c r="D135" s="80" t="str">
        <f t="shared" si="11"/>
        <v/>
      </c>
      <c r="E135" s="89"/>
      <c r="F135" s="128" t="str">
        <f t="shared" si="12"/>
        <v/>
      </c>
      <c r="G135" s="122"/>
      <c r="H135" s="122"/>
      <c r="I135" s="122"/>
      <c r="J135" s="89"/>
      <c r="L135" t="str">
        <f t="shared" si="13"/>
        <v/>
      </c>
      <c r="M135" t="str">
        <f t="shared" si="14"/>
        <v/>
      </c>
    </row>
    <row r="136" spans="1:13">
      <c r="A136" s="81" t="str">
        <f>IF(E136="","",VLOOKUP('OPĆI DIO'!$C$3,'OPĆI DIO'!$L$6:$U$138,10,FALSE))</f>
        <v/>
      </c>
      <c r="B136" s="81" t="str">
        <f>IF(E136="","",VLOOKUP('OPĆI DIO'!$C$3,'OPĆI DIO'!$L$6:$U$138,9,FALSE))</f>
        <v/>
      </c>
      <c r="C136" s="124" t="str">
        <f t="shared" si="10"/>
        <v/>
      </c>
      <c r="D136" s="80" t="str">
        <f t="shared" si="11"/>
        <v/>
      </c>
      <c r="E136" s="89"/>
      <c r="F136" s="128" t="str">
        <f t="shared" si="12"/>
        <v/>
      </c>
      <c r="G136" s="122"/>
      <c r="H136" s="122"/>
      <c r="I136" s="122"/>
      <c r="J136" s="89"/>
      <c r="L136" t="str">
        <f t="shared" si="13"/>
        <v/>
      </c>
      <c r="M136" t="str">
        <f t="shared" si="14"/>
        <v/>
      </c>
    </row>
    <row r="137" spans="1:13">
      <c r="A137" s="81" t="str">
        <f>IF(E137="","",VLOOKUP('OPĆI DIO'!$C$3,'OPĆI DIO'!$L$6:$U$138,10,FALSE))</f>
        <v/>
      </c>
      <c r="B137" s="81" t="str">
        <f>IF(E137="","",VLOOKUP('OPĆI DIO'!$C$3,'OPĆI DIO'!$L$6:$U$138,9,FALSE))</f>
        <v/>
      </c>
      <c r="C137" s="124" t="str">
        <f t="shared" si="10"/>
        <v/>
      </c>
      <c r="D137" s="80" t="str">
        <f t="shared" si="11"/>
        <v/>
      </c>
      <c r="E137" s="89"/>
      <c r="F137" s="128" t="str">
        <f t="shared" si="12"/>
        <v/>
      </c>
      <c r="G137" s="122"/>
      <c r="H137" s="122"/>
      <c r="I137" s="122"/>
      <c r="J137" s="89"/>
      <c r="L137" t="str">
        <f t="shared" si="13"/>
        <v/>
      </c>
      <c r="M137" t="str">
        <f t="shared" si="14"/>
        <v/>
      </c>
    </row>
    <row r="138" spans="1:13">
      <c r="A138" s="81" t="str">
        <f>IF(E138="","",VLOOKUP('OPĆI DIO'!$C$3,'OPĆI DIO'!$L$6:$U$138,10,FALSE))</f>
        <v/>
      </c>
      <c r="B138" s="81" t="str">
        <f>IF(E138="","",VLOOKUP('OPĆI DIO'!$C$3,'OPĆI DIO'!$L$6:$U$138,9,FALSE))</f>
        <v/>
      </c>
      <c r="C138" s="124" t="str">
        <f t="shared" si="10"/>
        <v/>
      </c>
      <c r="D138" s="80" t="str">
        <f t="shared" si="11"/>
        <v/>
      </c>
      <c r="E138" s="89"/>
      <c r="F138" s="128" t="str">
        <f t="shared" si="12"/>
        <v/>
      </c>
      <c r="G138" s="122"/>
      <c r="H138" s="122"/>
      <c r="I138" s="122"/>
      <c r="J138" s="89"/>
      <c r="L138" t="str">
        <f t="shared" si="13"/>
        <v/>
      </c>
      <c r="M138" t="str">
        <f t="shared" si="14"/>
        <v/>
      </c>
    </row>
    <row r="139" spans="1:13">
      <c r="A139" s="81" t="str">
        <f>IF(E139="","",VLOOKUP('OPĆI DIO'!$C$3,'OPĆI DIO'!$L$6:$U$138,10,FALSE))</f>
        <v/>
      </c>
      <c r="B139" s="81" t="str">
        <f>IF(E139="","",VLOOKUP('OPĆI DIO'!$C$3,'OPĆI DIO'!$L$6:$U$138,9,FALSE))</f>
        <v/>
      </c>
      <c r="C139" s="124" t="str">
        <f t="shared" si="10"/>
        <v/>
      </c>
      <c r="D139" s="80" t="str">
        <f t="shared" si="11"/>
        <v/>
      </c>
      <c r="E139" s="89"/>
      <c r="F139" s="128" t="str">
        <f t="shared" si="12"/>
        <v/>
      </c>
      <c r="G139" s="122"/>
      <c r="H139" s="122"/>
      <c r="I139" s="122"/>
      <c r="J139" s="89"/>
      <c r="L139" t="str">
        <f t="shared" si="13"/>
        <v/>
      </c>
      <c r="M139" t="str">
        <f t="shared" si="14"/>
        <v/>
      </c>
    </row>
    <row r="140" spans="1:13">
      <c r="A140" s="81" t="str">
        <f>IF(E140="","",VLOOKUP('OPĆI DIO'!$C$3,'OPĆI DIO'!$L$6:$U$138,10,FALSE))</f>
        <v/>
      </c>
      <c r="B140" s="81" t="str">
        <f>IF(E140="","",VLOOKUP('OPĆI DIO'!$C$3,'OPĆI DIO'!$L$6:$U$138,9,FALSE))</f>
        <v/>
      </c>
      <c r="C140" s="124" t="str">
        <f t="shared" si="10"/>
        <v/>
      </c>
      <c r="D140" s="80" t="str">
        <f t="shared" si="11"/>
        <v/>
      </c>
      <c r="E140" s="89"/>
      <c r="F140" s="128" t="str">
        <f t="shared" si="12"/>
        <v/>
      </c>
      <c r="G140" s="122"/>
      <c r="H140" s="122"/>
      <c r="I140" s="122"/>
      <c r="J140" s="89"/>
      <c r="L140" t="str">
        <f t="shared" si="13"/>
        <v/>
      </c>
      <c r="M140" t="str">
        <f t="shared" si="14"/>
        <v/>
      </c>
    </row>
    <row r="141" spans="1:13">
      <c r="A141" s="81" t="str">
        <f>IF(E141="","",VLOOKUP('OPĆI DIO'!$C$3,'OPĆI DIO'!$L$6:$U$138,10,FALSE))</f>
        <v/>
      </c>
      <c r="B141" s="81" t="str">
        <f>IF(E141="","",VLOOKUP('OPĆI DIO'!$C$3,'OPĆI DIO'!$L$6:$U$138,9,FALSE))</f>
        <v/>
      </c>
      <c r="C141" s="124" t="str">
        <f t="shared" si="10"/>
        <v/>
      </c>
      <c r="D141" s="80" t="str">
        <f t="shared" si="11"/>
        <v/>
      </c>
      <c r="E141" s="89"/>
      <c r="F141" s="128" t="str">
        <f t="shared" si="12"/>
        <v/>
      </c>
      <c r="G141" s="122"/>
      <c r="H141" s="122"/>
      <c r="I141" s="122"/>
      <c r="J141" s="89"/>
      <c r="L141" t="str">
        <f t="shared" si="13"/>
        <v/>
      </c>
      <c r="M141" t="str">
        <f t="shared" si="14"/>
        <v/>
      </c>
    </row>
    <row r="142" spans="1:13">
      <c r="A142" s="81" t="str">
        <f>IF(E142="","",VLOOKUP('OPĆI DIO'!$C$3,'OPĆI DIO'!$L$6:$U$138,10,FALSE))</f>
        <v/>
      </c>
      <c r="B142" s="81" t="str">
        <f>IF(E142="","",VLOOKUP('OPĆI DIO'!$C$3,'OPĆI DIO'!$L$6:$U$138,9,FALSE))</f>
        <v/>
      </c>
      <c r="C142" s="124" t="str">
        <f t="shared" si="10"/>
        <v/>
      </c>
      <c r="D142" s="80" t="str">
        <f t="shared" si="11"/>
        <v/>
      </c>
      <c r="E142" s="89"/>
      <c r="F142" s="128" t="str">
        <f t="shared" si="12"/>
        <v/>
      </c>
      <c r="G142" s="122"/>
      <c r="H142" s="122"/>
      <c r="I142" s="122"/>
      <c r="J142" s="89"/>
      <c r="L142" t="str">
        <f t="shared" si="13"/>
        <v/>
      </c>
      <c r="M142" t="str">
        <f t="shared" si="14"/>
        <v/>
      </c>
    </row>
    <row r="143" spans="1:13">
      <c r="A143" s="81" t="str">
        <f>IF(E143="","",VLOOKUP('OPĆI DIO'!$C$3,'OPĆI DIO'!$L$6:$U$138,10,FALSE))</f>
        <v/>
      </c>
      <c r="B143" s="81" t="str">
        <f>IF(E143="","",VLOOKUP('OPĆI DIO'!$C$3,'OPĆI DIO'!$L$6:$U$138,9,FALSE))</f>
        <v/>
      </c>
      <c r="C143" s="124" t="str">
        <f t="shared" si="10"/>
        <v/>
      </c>
      <c r="D143" s="80" t="str">
        <f t="shared" si="11"/>
        <v/>
      </c>
      <c r="E143" s="89"/>
      <c r="F143" s="128" t="str">
        <f t="shared" si="12"/>
        <v/>
      </c>
      <c r="G143" s="122"/>
      <c r="H143" s="122"/>
      <c r="I143" s="122"/>
      <c r="J143" s="89"/>
      <c r="L143" t="str">
        <f t="shared" si="13"/>
        <v/>
      </c>
      <c r="M143" t="str">
        <f t="shared" si="14"/>
        <v/>
      </c>
    </row>
    <row r="144" spans="1:13">
      <c r="A144" s="81" t="str">
        <f>IF(E144="","",VLOOKUP('OPĆI DIO'!$C$3,'OPĆI DIO'!$L$6:$U$138,10,FALSE))</f>
        <v/>
      </c>
      <c r="B144" s="81" t="str">
        <f>IF(E144="","",VLOOKUP('OPĆI DIO'!$C$3,'OPĆI DIO'!$L$6:$U$138,9,FALSE))</f>
        <v/>
      </c>
      <c r="C144" s="124" t="str">
        <f t="shared" si="10"/>
        <v/>
      </c>
      <c r="D144" s="80" t="str">
        <f t="shared" si="11"/>
        <v/>
      </c>
      <c r="E144" s="89"/>
      <c r="F144" s="128" t="str">
        <f t="shared" si="12"/>
        <v/>
      </c>
      <c r="G144" s="122"/>
      <c r="H144" s="122"/>
      <c r="I144" s="122"/>
      <c r="J144" s="89"/>
      <c r="L144" t="str">
        <f t="shared" si="13"/>
        <v/>
      </c>
      <c r="M144" t="str">
        <f t="shared" si="14"/>
        <v/>
      </c>
    </row>
    <row r="145" spans="1:13">
      <c r="A145" s="81" t="str">
        <f>IF(E145="","",VLOOKUP('OPĆI DIO'!$C$3,'OPĆI DIO'!$L$6:$U$138,10,FALSE))</f>
        <v/>
      </c>
      <c r="B145" s="81" t="str">
        <f>IF(E145="","",VLOOKUP('OPĆI DIO'!$C$3,'OPĆI DIO'!$L$6:$U$138,9,FALSE))</f>
        <v/>
      </c>
      <c r="C145" s="124" t="str">
        <f t="shared" si="10"/>
        <v/>
      </c>
      <c r="D145" s="80" t="str">
        <f t="shared" si="11"/>
        <v/>
      </c>
      <c r="E145" s="89"/>
      <c r="F145" s="128" t="str">
        <f t="shared" si="12"/>
        <v/>
      </c>
      <c r="G145" s="122"/>
      <c r="H145" s="122"/>
      <c r="I145" s="122"/>
      <c r="J145" s="89"/>
      <c r="L145" t="str">
        <f t="shared" si="13"/>
        <v/>
      </c>
      <c r="M145" t="str">
        <f t="shared" si="14"/>
        <v/>
      </c>
    </row>
    <row r="146" spans="1:13">
      <c r="A146" s="81" t="str">
        <f>IF(E146="","",VLOOKUP('OPĆI DIO'!$C$3,'OPĆI DIO'!$L$6:$U$138,10,FALSE))</f>
        <v/>
      </c>
      <c r="B146" s="81" t="str">
        <f>IF(E146="","",VLOOKUP('OPĆI DIO'!$C$3,'OPĆI DIO'!$L$6:$U$138,9,FALSE))</f>
        <v/>
      </c>
      <c r="C146" s="124" t="str">
        <f t="shared" si="10"/>
        <v/>
      </c>
      <c r="D146" s="80" t="str">
        <f t="shared" si="11"/>
        <v/>
      </c>
      <c r="E146" s="89"/>
      <c r="F146" s="128" t="str">
        <f t="shared" si="12"/>
        <v/>
      </c>
      <c r="G146" s="122"/>
      <c r="H146" s="122"/>
      <c r="I146" s="122"/>
      <c r="J146" s="89"/>
      <c r="L146" t="str">
        <f t="shared" si="13"/>
        <v/>
      </c>
      <c r="M146" t="str">
        <f t="shared" si="14"/>
        <v/>
      </c>
    </row>
    <row r="147" spans="1:13">
      <c r="A147" s="81" t="str">
        <f>IF(E147="","",VLOOKUP('OPĆI DIO'!$C$3,'OPĆI DIO'!$L$6:$U$138,10,FALSE))</f>
        <v/>
      </c>
      <c r="B147" s="81" t="str">
        <f>IF(E147="","",VLOOKUP('OPĆI DIO'!$C$3,'OPĆI DIO'!$L$6:$U$138,9,FALSE))</f>
        <v/>
      </c>
      <c r="C147" s="124" t="str">
        <f t="shared" si="10"/>
        <v/>
      </c>
      <c r="D147" s="80" t="str">
        <f t="shared" si="11"/>
        <v/>
      </c>
      <c r="E147" s="89"/>
      <c r="F147" s="128" t="str">
        <f t="shared" si="12"/>
        <v/>
      </c>
      <c r="G147" s="122"/>
      <c r="H147" s="122"/>
      <c r="I147" s="122"/>
      <c r="J147" s="89"/>
      <c r="L147" t="str">
        <f t="shared" si="13"/>
        <v/>
      </c>
      <c r="M147" t="str">
        <f t="shared" si="14"/>
        <v/>
      </c>
    </row>
    <row r="148" spans="1:13">
      <c r="A148" s="81" t="str">
        <f>IF(E148="","",VLOOKUP('OPĆI DIO'!$C$3,'OPĆI DIO'!$L$6:$U$138,10,FALSE))</f>
        <v/>
      </c>
      <c r="B148" s="81" t="str">
        <f>IF(E148="","",VLOOKUP('OPĆI DIO'!$C$3,'OPĆI DIO'!$L$6:$U$138,9,FALSE))</f>
        <v/>
      </c>
      <c r="C148" s="124" t="str">
        <f t="shared" si="10"/>
        <v/>
      </c>
      <c r="D148" s="80" t="str">
        <f t="shared" si="11"/>
        <v/>
      </c>
      <c r="E148" s="89"/>
      <c r="F148" s="128" t="str">
        <f t="shared" si="12"/>
        <v/>
      </c>
      <c r="G148" s="122"/>
      <c r="H148" s="122"/>
      <c r="I148" s="122"/>
      <c r="J148" s="89"/>
      <c r="L148" t="str">
        <f t="shared" si="13"/>
        <v/>
      </c>
      <c r="M148" t="str">
        <f t="shared" si="14"/>
        <v/>
      </c>
    </row>
    <row r="149" spans="1:13">
      <c r="A149" s="81" t="str">
        <f>IF(E149="","",VLOOKUP('OPĆI DIO'!$C$3,'OPĆI DIO'!$L$6:$U$138,10,FALSE))</f>
        <v/>
      </c>
      <c r="B149" s="81" t="str">
        <f>IF(E149="","",VLOOKUP('OPĆI DIO'!$C$3,'OPĆI DIO'!$L$6:$U$138,9,FALSE))</f>
        <v/>
      </c>
      <c r="C149" s="124" t="str">
        <f t="shared" si="10"/>
        <v/>
      </c>
      <c r="D149" s="80" t="str">
        <f t="shared" si="11"/>
        <v/>
      </c>
      <c r="E149" s="89"/>
      <c r="F149" s="128" t="str">
        <f t="shared" si="12"/>
        <v/>
      </c>
      <c r="G149" s="122"/>
      <c r="H149" s="122"/>
      <c r="I149" s="122"/>
      <c r="J149" s="89"/>
      <c r="L149" t="str">
        <f t="shared" si="13"/>
        <v/>
      </c>
      <c r="M149" t="str">
        <f t="shared" si="14"/>
        <v/>
      </c>
    </row>
    <row r="150" spans="1:13">
      <c r="A150" s="81" t="str">
        <f>IF(E150="","",VLOOKUP('OPĆI DIO'!$C$3,'OPĆI DIO'!$L$6:$U$138,10,FALSE))</f>
        <v/>
      </c>
      <c r="B150" s="81" t="str">
        <f>IF(E150="","",VLOOKUP('OPĆI DIO'!$C$3,'OPĆI DIO'!$L$6:$U$138,9,FALSE))</f>
        <v/>
      </c>
      <c r="C150" s="124" t="str">
        <f t="shared" si="10"/>
        <v/>
      </c>
      <c r="D150" s="80" t="str">
        <f t="shared" si="11"/>
        <v/>
      </c>
      <c r="E150" s="89"/>
      <c r="F150" s="128" t="str">
        <f t="shared" si="12"/>
        <v/>
      </c>
      <c r="G150" s="122"/>
      <c r="H150" s="122"/>
      <c r="I150" s="122"/>
      <c r="J150" s="89"/>
      <c r="L150" t="str">
        <f t="shared" si="13"/>
        <v/>
      </c>
      <c r="M150" t="str">
        <f t="shared" si="14"/>
        <v/>
      </c>
    </row>
    <row r="151" spans="1:13">
      <c r="A151" s="81" t="str">
        <f>IF(E151="","",VLOOKUP('OPĆI DIO'!$C$3,'OPĆI DIO'!$L$6:$U$138,10,FALSE))</f>
        <v/>
      </c>
      <c r="B151" s="81" t="str">
        <f>IF(E151="","",VLOOKUP('OPĆI DIO'!$C$3,'OPĆI DIO'!$L$6:$U$138,9,FALSE))</f>
        <v/>
      </c>
      <c r="C151" s="124" t="str">
        <f t="shared" si="10"/>
        <v/>
      </c>
      <c r="D151" s="80" t="str">
        <f t="shared" si="11"/>
        <v/>
      </c>
      <c r="E151" s="89"/>
      <c r="F151" s="128" t="str">
        <f t="shared" si="12"/>
        <v/>
      </c>
      <c r="G151" s="122"/>
      <c r="H151" s="122"/>
      <c r="I151" s="122"/>
      <c r="J151" s="89"/>
      <c r="L151" t="str">
        <f t="shared" si="13"/>
        <v/>
      </c>
      <c r="M151" t="str">
        <f t="shared" si="14"/>
        <v/>
      </c>
    </row>
    <row r="152" spans="1:13">
      <c r="A152" s="81" t="str">
        <f>IF(E152="","",VLOOKUP('OPĆI DIO'!$C$3,'OPĆI DIO'!$L$6:$U$138,10,FALSE))</f>
        <v/>
      </c>
      <c r="B152" s="81" t="str">
        <f>IF(E152="","",VLOOKUP('OPĆI DIO'!$C$3,'OPĆI DIO'!$L$6:$U$138,9,FALSE))</f>
        <v/>
      </c>
      <c r="C152" s="124" t="str">
        <f t="shared" si="10"/>
        <v/>
      </c>
      <c r="D152" s="80" t="str">
        <f t="shared" si="11"/>
        <v/>
      </c>
      <c r="E152" s="89"/>
      <c r="F152" s="128" t="str">
        <f t="shared" si="12"/>
        <v/>
      </c>
      <c r="G152" s="122"/>
      <c r="H152" s="122"/>
      <c r="I152" s="122"/>
      <c r="J152" s="89"/>
      <c r="L152" t="str">
        <f t="shared" si="13"/>
        <v/>
      </c>
      <c r="M152" t="str">
        <f t="shared" si="14"/>
        <v/>
      </c>
    </row>
    <row r="153" spans="1:13">
      <c r="A153" s="81" t="str">
        <f>IF(E153="","",VLOOKUP('OPĆI DIO'!$C$3,'OPĆI DIO'!$L$6:$U$138,10,FALSE))</f>
        <v/>
      </c>
      <c r="B153" s="81" t="str">
        <f>IF(E153="","",VLOOKUP('OPĆI DIO'!$C$3,'OPĆI DIO'!$L$6:$U$138,9,FALSE))</f>
        <v/>
      </c>
      <c r="C153" s="124" t="str">
        <f t="shared" si="10"/>
        <v/>
      </c>
      <c r="D153" s="80" t="str">
        <f t="shared" si="11"/>
        <v/>
      </c>
      <c r="E153" s="89"/>
      <c r="F153" s="128" t="str">
        <f t="shared" si="12"/>
        <v/>
      </c>
      <c r="G153" s="122"/>
      <c r="H153" s="122"/>
      <c r="I153" s="122"/>
      <c r="J153" s="89"/>
      <c r="L153" t="str">
        <f t="shared" si="13"/>
        <v/>
      </c>
      <c r="M153" t="str">
        <f t="shared" si="14"/>
        <v/>
      </c>
    </row>
    <row r="154" spans="1:13">
      <c r="A154" s="81" t="str">
        <f>IF(E154="","",VLOOKUP('OPĆI DIO'!$C$3,'OPĆI DIO'!$L$6:$U$138,10,FALSE))</f>
        <v/>
      </c>
      <c r="B154" s="81" t="str">
        <f>IF(E154="","",VLOOKUP('OPĆI DIO'!$C$3,'OPĆI DIO'!$L$6:$U$138,9,FALSE))</f>
        <v/>
      </c>
      <c r="C154" s="124" t="str">
        <f t="shared" si="10"/>
        <v/>
      </c>
      <c r="D154" s="80" t="str">
        <f t="shared" si="11"/>
        <v/>
      </c>
      <c r="E154" s="89"/>
      <c r="F154" s="128" t="str">
        <f t="shared" si="12"/>
        <v/>
      </c>
      <c r="G154" s="122"/>
      <c r="H154" s="122"/>
      <c r="I154" s="122"/>
      <c r="J154" s="89"/>
      <c r="L154" t="str">
        <f t="shared" si="13"/>
        <v/>
      </c>
      <c r="M154" t="str">
        <f t="shared" si="14"/>
        <v/>
      </c>
    </row>
    <row r="155" spans="1:13">
      <c r="A155" s="81" t="str">
        <f>IF(E155="","",VLOOKUP('OPĆI DIO'!$C$3,'OPĆI DIO'!$L$6:$U$138,10,FALSE))</f>
        <v/>
      </c>
      <c r="B155" s="81" t="str">
        <f>IF(E155="","",VLOOKUP('OPĆI DIO'!$C$3,'OPĆI DIO'!$L$6:$U$138,9,FALSE))</f>
        <v/>
      </c>
      <c r="C155" s="124" t="str">
        <f t="shared" si="10"/>
        <v/>
      </c>
      <c r="D155" s="80" t="str">
        <f t="shared" si="11"/>
        <v/>
      </c>
      <c r="E155" s="89"/>
      <c r="F155" s="128" t="str">
        <f t="shared" si="12"/>
        <v/>
      </c>
      <c r="G155" s="122"/>
      <c r="H155" s="122"/>
      <c r="I155" s="122"/>
      <c r="J155" s="89"/>
      <c r="L155" t="str">
        <f t="shared" si="13"/>
        <v/>
      </c>
      <c r="M155" t="str">
        <f t="shared" si="14"/>
        <v/>
      </c>
    </row>
    <row r="156" spans="1:13">
      <c r="A156" s="81" t="str">
        <f>IF(E156="","",VLOOKUP('OPĆI DIO'!$C$3,'OPĆI DIO'!$L$6:$U$138,10,FALSE))</f>
        <v/>
      </c>
      <c r="B156" s="81" t="str">
        <f>IF(E156="","",VLOOKUP('OPĆI DIO'!$C$3,'OPĆI DIO'!$L$6:$U$138,9,FALSE))</f>
        <v/>
      </c>
      <c r="C156" s="124" t="str">
        <f t="shared" si="10"/>
        <v/>
      </c>
      <c r="D156" s="80" t="str">
        <f t="shared" si="11"/>
        <v/>
      </c>
      <c r="E156" s="89"/>
      <c r="F156" s="128" t="str">
        <f t="shared" si="12"/>
        <v/>
      </c>
      <c r="G156" s="122"/>
      <c r="H156" s="122"/>
      <c r="I156" s="122"/>
      <c r="J156" s="89"/>
      <c r="L156" t="str">
        <f t="shared" si="13"/>
        <v/>
      </c>
      <c r="M156" t="str">
        <f t="shared" si="14"/>
        <v/>
      </c>
    </row>
    <row r="157" spans="1:13">
      <c r="A157" s="81" t="str">
        <f>IF(E157="","",VLOOKUP('OPĆI DIO'!$C$3,'OPĆI DIO'!$L$6:$U$138,10,FALSE))</f>
        <v/>
      </c>
      <c r="B157" s="81" t="str">
        <f>IF(E157="","",VLOOKUP('OPĆI DIO'!$C$3,'OPĆI DIO'!$L$6:$U$138,9,FALSE))</f>
        <v/>
      </c>
      <c r="C157" s="124" t="str">
        <f t="shared" si="10"/>
        <v/>
      </c>
      <c r="D157" s="80" t="str">
        <f t="shared" si="11"/>
        <v/>
      </c>
      <c r="E157" s="89"/>
      <c r="F157" s="128" t="str">
        <f t="shared" si="12"/>
        <v/>
      </c>
      <c r="G157" s="122"/>
      <c r="H157" s="122"/>
      <c r="I157" s="122"/>
      <c r="J157" s="89"/>
      <c r="L157" t="str">
        <f t="shared" si="13"/>
        <v/>
      </c>
      <c r="M157" t="str">
        <f t="shared" si="14"/>
        <v/>
      </c>
    </row>
    <row r="158" spans="1:13">
      <c r="A158" s="81" t="str">
        <f>IF(E158="","",VLOOKUP('OPĆI DIO'!$C$3,'OPĆI DIO'!$L$6:$U$138,10,FALSE))</f>
        <v/>
      </c>
      <c r="B158" s="81" t="str">
        <f>IF(E158="","",VLOOKUP('OPĆI DIO'!$C$3,'OPĆI DIO'!$L$6:$U$138,9,FALSE))</f>
        <v/>
      </c>
      <c r="C158" s="124" t="str">
        <f t="shared" si="10"/>
        <v/>
      </c>
      <c r="D158" s="80" t="str">
        <f t="shared" si="11"/>
        <v/>
      </c>
      <c r="E158" s="89"/>
      <c r="F158" s="128" t="str">
        <f t="shared" si="12"/>
        <v/>
      </c>
      <c r="G158" s="122"/>
      <c r="H158" s="122"/>
      <c r="I158" s="122"/>
      <c r="J158" s="89"/>
      <c r="L158" t="str">
        <f t="shared" si="13"/>
        <v/>
      </c>
      <c r="M158" t="str">
        <f t="shared" si="14"/>
        <v/>
      </c>
    </row>
    <row r="159" spans="1:13">
      <c r="A159" s="81" t="str">
        <f>IF(E159="","",VLOOKUP('OPĆI DIO'!$C$3,'OPĆI DIO'!$L$6:$U$138,10,FALSE))</f>
        <v/>
      </c>
      <c r="B159" s="81" t="str">
        <f>IF(E159="","",VLOOKUP('OPĆI DIO'!$C$3,'OPĆI DIO'!$L$6:$U$138,9,FALSE))</f>
        <v/>
      </c>
      <c r="C159" s="124" t="str">
        <f t="shared" si="10"/>
        <v/>
      </c>
      <c r="D159" s="80" t="str">
        <f t="shared" si="11"/>
        <v/>
      </c>
      <c r="E159" s="89"/>
      <c r="F159" s="128" t="str">
        <f t="shared" si="12"/>
        <v/>
      </c>
      <c r="G159" s="122"/>
      <c r="H159" s="122"/>
      <c r="I159" s="122"/>
      <c r="J159" s="89"/>
      <c r="L159" t="str">
        <f t="shared" si="13"/>
        <v/>
      </c>
      <c r="M159" t="str">
        <f t="shared" si="14"/>
        <v/>
      </c>
    </row>
    <row r="160" spans="1:13">
      <c r="A160" s="81" t="str">
        <f>IF(E160="","",VLOOKUP('OPĆI DIO'!$C$3,'OPĆI DIO'!$L$6:$U$138,10,FALSE))</f>
        <v/>
      </c>
      <c r="B160" s="81" t="str">
        <f>IF(E160="","",VLOOKUP('OPĆI DIO'!$C$3,'OPĆI DIO'!$L$6:$U$138,9,FALSE))</f>
        <v/>
      </c>
      <c r="C160" s="124" t="str">
        <f t="shared" si="10"/>
        <v/>
      </c>
      <c r="D160" s="80" t="str">
        <f t="shared" si="11"/>
        <v/>
      </c>
      <c r="E160" s="89"/>
      <c r="F160" s="128" t="str">
        <f t="shared" si="12"/>
        <v/>
      </c>
      <c r="G160" s="122"/>
      <c r="H160" s="122"/>
      <c r="I160" s="122"/>
      <c r="J160" s="89"/>
      <c r="L160" t="str">
        <f t="shared" si="13"/>
        <v/>
      </c>
      <c r="M160" t="str">
        <f t="shared" si="14"/>
        <v/>
      </c>
    </row>
    <row r="161" spans="1:13">
      <c r="A161" s="81" t="str">
        <f>IF(E161="","",VLOOKUP('OPĆI DIO'!$C$3,'OPĆI DIO'!$L$6:$U$138,10,FALSE))</f>
        <v/>
      </c>
      <c r="B161" s="81" t="str">
        <f>IF(E161="","",VLOOKUP('OPĆI DIO'!$C$3,'OPĆI DIO'!$L$6:$U$138,9,FALSE))</f>
        <v/>
      </c>
      <c r="C161" s="124" t="str">
        <f t="shared" si="10"/>
        <v/>
      </c>
      <c r="D161" s="80" t="str">
        <f t="shared" si="11"/>
        <v/>
      </c>
      <c r="E161" s="89"/>
      <c r="F161" s="128" t="str">
        <f t="shared" si="12"/>
        <v/>
      </c>
      <c r="G161" s="122"/>
      <c r="H161" s="122"/>
      <c r="I161" s="122"/>
      <c r="J161" s="89"/>
      <c r="L161" t="str">
        <f t="shared" si="13"/>
        <v/>
      </c>
      <c r="M161" t="str">
        <f t="shared" si="14"/>
        <v/>
      </c>
    </row>
    <row r="162" spans="1:13">
      <c r="A162" s="81" t="str">
        <f>IF(E162="","",VLOOKUP('OPĆI DIO'!$C$3,'OPĆI DIO'!$L$6:$U$138,10,FALSE))</f>
        <v/>
      </c>
      <c r="B162" s="81" t="str">
        <f>IF(E162="","",VLOOKUP('OPĆI DIO'!$C$3,'OPĆI DIO'!$L$6:$U$138,9,FALSE))</f>
        <v/>
      </c>
      <c r="C162" s="124" t="str">
        <f t="shared" si="10"/>
        <v/>
      </c>
      <c r="D162" s="80" t="str">
        <f t="shared" si="11"/>
        <v/>
      </c>
      <c r="E162" s="89"/>
      <c r="F162" s="128" t="str">
        <f t="shared" si="12"/>
        <v/>
      </c>
      <c r="G162" s="122"/>
      <c r="H162" s="122"/>
      <c r="I162" s="122"/>
      <c r="J162" s="89"/>
      <c r="L162" t="str">
        <f t="shared" si="13"/>
        <v/>
      </c>
      <c r="M162" t="str">
        <f t="shared" si="14"/>
        <v/>
      </c>
    </row>
    <row r="163" spans="1:13">
      <c r="A163" s="81" t="str">
        <f>IF(E163="","",VLOOKUP('OPĆI DIO'!$C$3,'OPĆI DIO'!$L$6:$U$138,10,FALSE))</f>
        <v/>
      </c>
      <c r="B163" s="81" t="str">
        <f>IF(E163="","",VLOOKUP('OPĆI DIO'!$C$3,'OPĆI DIO'!$L$6:$U$138,9,FALSE))</f>
        <v/>
      </c>
      <c r="C163" s="124" t="str">
        <f t="shared" si="10"/>
        <v/>
      </c>
      <c r="D163" s="80" t="str">
        <f t="shared" si="11"/>
        <v/>
      </c>
      <c r="E163" s="89"/>
      <c r="F163" s="128" t="str">
        <f t="shared" si="12"/>
        <v/>
      </c>
      <c r="G163" s="122"/>
      <c r="H163" s="122"/>
      <c r="I163" s="122"/>
      <c r="J163" s="89"/>
      <c r="L163" t="str">
        <f t="shared" si="13"/>
        <v/>
      </c>
      <c r="M163" t="str">
        <f t="shared" si="14"/>
        <v/>
      </c>
    </row>
    <row r="164" spans="1:13">
      <c r="A164" s="81" t="str">
        <f>IF(E164="","",VLOOKUP('OPĆI DIO'!$C$3,'OPĆI DIO'!$L$6:$U$138,10,FALSE))</f>
        <v/>
      </c>
      <c r="B164" s="81" t="str">
        <f>IF(E164="","",VLOOKUP('OPĆI DIO'!$C$3,'OPĆI DIO'!$L$6:$U$138,9,FALSE))</f>
        <v/>
      </c>
      <c r="C164" s="124" t="str">
        <f t="shared" si="10"/>
        <v/>
      </c>
      <c r="D164" s="80" t="str">
        <f t="shared" si="11"/>
        <v/>
      </c>
      <c r="E164" s="89"/>
      <c r="F164" s="128" t="str">
        <f t="shared" si="12"/>
        <v/>
      </c>
      <c r="G164" s="122"/>
      <c r="H164" s="122"/>
      <c r="I164" s="122"/>
      <c r="J164" s="89"/>
      <c r="L164" t="str">
        <f t="shared" si="13"/>
        <v/>
      </c>
      <c r="M164" t="str">
        <f t="shared" si="14"/>
        <v/>
      </c>
    </row>
    <row r="165" spans="1:13">
      <c r="A165" s="81" t="str">
        <f>IF(E165="","",VLOOKUP('OPĆI DIO'!$C$3,'OPĆI DIO'!$L$6:$U$138,10,FALSE))</f>
        <v/>
      </c>
      <c r="B165" s="81" t="str">
        <f>IF(E165="","",VLOOKUP('OPĆI DIO'!$C$3,'OPĆI DIO'!$L$6:$U$138,9,FALSE))</f>
        <v/>
      </c>
      <c r="C165" s="124" t="str">
        <f t="shared" si="10"/>
        <v/>
      </c>
      <c r="D165" s="80" t="str">
        <f t="shared" si="11"/>
        <v/>
      </c>
      <c r="E165" s="89"/>
      <c r="F165" s="128" t="str">
        <f t="shared" si="12"/>
        <v/>
      </c>
      <c r="G165" s="122"/>
      <c r="H165" s="122"/>
      <c r="I165" s="122"/>
      <c r="J165" s="89"/>
      <c r="L165" t="str">
        <f t="shared" si="13"/>
        <v/>
      </c>
      <c r="M165" t="str">
        <f t="shared" si="14"/>
        <v/>
      </c>
    </row>
    <row r="166" spans="1:13">
      <c r="A166" s="81" t="str">
        <f>IF(E166="","",VLOOKUP('OPĆI DIO'!$C$3,'OPĆI DIO'!$L$6:$U$138,10,FALSE))</f>
        <v/>
      </c>
      <c r="B166" s="81" t="str">
        <f>IF(E166="","",VLOOKUP('OPĆI DIO'!$C$3,'OPĆI DIO'!$L$6:$U$138,9,FALSE))</f>
        <v/>
      </c>
      <c r="C166" s="124" t="str">
        <f t="shared" si="10"/>
        <v/>
      </c>
      <c r="D166" s="80" t="str">
        <f t="shared" si="11"/>
        <v/>
      </c>
      <c r="E166" s="89"/>
      <c r="F166" s="128" t="str">
        <f t="shared" si="12"/>
        <v/>
      </c>
      <c r="G166" s="122"/>
      <c r="H166" s="122"/>
      <c r="I166" s="122"/>
      <c r="J166" s="89"/>
      <c r="L166" t="str">
        <f t="shared" si="13"/>
        <v/>
      </c>
      <c r="M166" t="str">
        <f t="shared" si="14"/>
        <v/>
      </c>
    </row>
    <row r="167" spans="1:13">
      <c r="A167" s="81" t="str">
        <f>IF(E167="","",VLOOKUP('OPĆI DIO'!$C$3,'OPĆI DIO'!$L$6:$U$138,10,FALSE))</f>
        <v/>
      </c>
      <c r="B167" s="81" t="str">
        <f>IF(E167="","",VLOOKUP('OPĆI DIO'!$C$3,'OPĆI DIO'!$L$6:$U$138,9,FALSE))</f>
        <v/>
      </c>
      <c r="C167" s="124" t="str">
        <f t="shared" si="10"/>
        <v/>
      </c>
      <c r="D167" s="80" t="str">
        <f t="shared" si="11"/>
        <v/>
      </c>
      <c r="E167" s="89"/>
      <c r="F167" s="128" t="str">
        <f t="shared" si="12"/>
        <v/>
      </c>
      <c r="G167" s="122"/>
      <c r="H167" s="122"/>
      <c r="I167" s="122"/>
      <c r="J167" s="89"/>
      <c r="L167" t="str">
        <f t="shared" si="13"/>
        <v/>
      </c>
      <c r="M167" t="str">
        <f t="shared" si="14"/>
        <v/>
      </c>
    </row>
    <row r="168" spans="1:13">
      <c r="A168" s="81" t="str">
        <f>IF(E168="","",VLOOKUP('OPĆI DIO'!$C$3,'OPĆI DIO'!$L$6:$U$138,10,FALSE))</f>
        <v/>
      </c>
      <c r="B168" s="81" t="str">
        <f>IF(E168="","",VLOOKUP('OPĆI DIO'!$C$3,'OPĆI DIO'!$L$6:$U$138,9,FALSE))</f>
        <v/>
      </c>
      <c r="C168" s="124" t="str">
        <f t="shared" si="10"/>
        <v/>
      </c>
      <c r="D168" s="80" t="str">
        <f t="shared" si="11"/>
        <v/>
      </c>
      <c r="E168" s="89"/>
      <c r="F168" s="128" t="str">
        <f t="shared" si="12"/>
        <v/>
      </c>
      <c r="G168" s="122"/>
      <c r="H168" s="122"/>
      <c r="I168" s="122"/>
      <c r="J168" s="89"/>
      <c r="L168" t="str">
        <f t="shared" si="13"/>
        <v/>
      </c>
      <c r="M168" t="str">
        <f t="shared" si="14"/>
        <v/>
      </c>
    </row>
    <row r="169" spans="1:13">
      <c r="A169" s="81" t="str">
        <f>IF(E169="","",VLOOKUP('OPĆI DIO'!$C$3,'OPĆI DIO'!$L$6:$U$138,10,FALSE))</f>
        <v/>
      </c>
      <c r="B169" s="81" t="str">
        <f>IF(E169="","",VLOOKUP('OPĆI DIO'!$C$3,'OPĆI DIO'!$L$6:$U$138,9,FALSE))</f>
        <v/>
      </c>
      <c r="C169" s="124" t="str">
        <f t="shared" si="10"/>
        <v/>
      </c>
      <c r="D169" s="80" t="str">
        <f t="shared" si="11"/>
        <v/>
      </c>
      <c r="E169" s="89"/>
      <c r="F169" s="128" t="str">
        <f t="shared" si="12"/>
        <v/>
      </c>
      <c r="G169" s="122"/>
      <c r="H169" s="122"/>
      <c r="I169" s="122"/>
      <c r="J169" s="89"/>
      <c r="L169" t="str">
        <f t="shared" si="13"/>
        <v/>
      </c>
      <c r="M169" t="str">
        <f t="shared" si="14"/>
        <v/>
      </c>
    </row>
    <row r="170" spans="1:13">
      <c r="A170" s="81" t="str">
        <f>IF(E170="","",VLOOKUP('OPĆI DIO'!$C$3,'OPĆI DIO'!$L$6:$U$138,10,FALSE))</f>
        <v/>
      </c>
      <c r="B170" s="81" t="str">
        <f>IF(E170="","",VLOOKUP('OPĆI DIO'!$C$3,'OPĆI DIO'!$L$6:$U$138,9,FALSE))</f>
        <v/>
      </c>
      <c r="C170" s="124" t="str">
        <f t="shared" si="10"/>
        <v/>
      </c>
      <c r="D170" s="80" t="str">
        <f t="shared" si="11"/>
        <v/>
      </c>
      <c r="E170" s="89"/>
      <c r="F170" s="128" t="str">
        <f t="shared" si="12"/>
        <v/>
      </c>
      <c r="G170" s="122"/>
      <c r="H170" s="122"/>
      <c r="I170" s="122"/>
      <c r="J170" s="89"/>
      <c r="L170" t="str">
        <f t="shared" si="13"/>
        <v/>
      </c>
      <c r="M170" t="str">
        <f t="shared" si="14"/>
        <v/>
      </c>
    </row>
    <row r="171" spans="1:13">
      <c r="A171" s="81" t="str">
        <f>IF(E171="","",VLOOKUP('OPĆI DIO'!$C$3,'OPĆI DIO'!$L$6:$U$138,10,FALSE))</f>
        <v/>
      </c>
      <c r="B171" s="81" t="str">
        <f>IF(E171="","",VLOOKUP('OPĆI DIO'!$C$3,'OPĆI DIO'!$L$6:$U$138,9,FALSE))</f>
        <v/>
      </c>
      <c r="C171" s="124" t="str">
        <f t="shared" si="10"/>
        <v/>
      </c>
      <c r="D171" s="80" t="str">
        <f t="shared" si="11"/>
        <v/>
      </c>
      <c r="E171" s="89"/>
      <c r="F171" s="128" t="str">
        <f t="shared" si="12"/>
        <v/>
      </c>
      <c r="G171" s="122"/>
      <c r="H171" s="122"/>
      <c r="I171" s="122"/>
      <c r="J171" s="89"/>
      <c r="L171" t="str">
        <f t="shared" si="13"/>
        <v/>
      </c>
      <c r="M171" t="str">
        <f t="shared" si="14"/>
        <v/>
      </c>
    </row>
    <row r="172" spans="1:13">
      <c r="A172" s="81" t="str">
        <f>IF(E172="","",VLOOKUP('OPĆI DIO'!$C$3,'OPĆI DIO'!$L$6:$U$138,10,FALSE))</f>
        <v/>
      </c>
      <c r="B172" s="81" t="str">
        <f>IF(E172="","",VLOOKUP('OPĆI DIO'!$C$3,'OPĆI DIO'!$L$6:$U$138,9,FALSE))</f>
        <v/>
      </c>
      <c r="C172" s="124" t="str">
        <f t="shared" si="10"/>
        <v/>
      </c>
      <c r="D172" s="80" t="str">
        <f t="shared" si="11"/>
        <v/>
      </c>
      <c r="E172" s="89"/>
      <c r="F172" s="128" t="str">
        <f t="shared" si="12"/>
        <v/>
      </c>
      <c r="G172" s="122"/>
      <c r="H172" s="122"/>
      <c r="I172" s="122"/>
      <c r="J172" s="89"/>
      <c r="L172" t="str">
        <f t="shared" si="13"/>
        <v/>
      </c>
      <c r="M172" t="str">
        <f t="shared" si="14"/>
        <v/>
      </c>
    </row>
    <row r="173" spans="1:13">
      <c r="A173" s="81" t="str">
        <f>IF(E173="","",VLOOKUP('OPĆI DIO'!$C$3,'OPĆI DIO'!$L$6:$U$138,10,FALSE))</f>
        <v/>
      </c>
      <c r="B173" s="81" t="str">
        <f>IF(E173="","",VLOOKUP('OPĆI DIO'!$C$3,'OPĆI DIO'!$L$6:$U$138,9,FALSE))</f>
        <v/>
      </c>
      <c r="C173" s="124" t="str">
        <f t="shared" si="10"/>
        <v/>
      </c>
      <c r="D173" s="80" t="str">
        <f t="shared" si="11"/>
        <v/>
      </c>
      <c r="E173" s="89"/>
      <c r="F173" s="128" t="str">
        <f t="shared" si="12"/>
        <v/>
      </c>
      <c r="G173" s="122"/>
      <c r="H173" s="122"/>
      <c r="I173" s="122"/>
      <c r="J173" s="89"/>
      <c r="L173" t="str">
        <f t="shared" si="13"/>
        <v/>
      </c>
      <c r="M173" t="str">
        <f t="shared" si="14"/>
        <v/>
      </c>
    </row>
    <row r="174" spans="1:13">
      <c r="A174" s="81" t="str">
        <f>IF(E174="","",VLOOKUP('OPĆI DIO'!$C$3,'OPĆI DIO'!$L$6:$U$138,10,FALSE))</f>
        <v/>
      </c>
      <c r="B174" s="81" t="str">
        <f>IF(E174="","",VLOOKUP('OPĆI DIO'!$C$3,'OPĆI DIO'!$L$6:$U$138,9,FALSE))</f>
        <v/>
      </c>
      <c r="C174" s="124" t="str">
        <f t="shared" si="10"/>
        <v/>
      </c>
      <c r="D174" s="80" t="str">
        <f t="shared" si="11"/>
        <v/>
      </c>
      <c r="E174" s="89"/>
      <c r="F174" s="128" t="str">
        <f t="shared" si="12"/>
        <v/>
      </c>
      <c r="G174" s="122"/>
      <c r="H174" s="122"/>
      <c r="I174" s="122"/>
      <c r="J174" s="89"/>
      <c r="L174" t="str">
        <f t="shared" si="13"/>
        <v/>
      </c>
      <c r="M174" t="str">
        <f t="shared" si="14"/>
        <v/>
      </c>
    </row>
    <row r="175" spans="1:13">
      <c r="A175" s="81" t="str">
        <f>IF(E175="","",VLOOKUP('OPĆI DIO'!$C$3,'OPĆI DIO'!$L$6:$U$138,10,FALSE))</f>
        <v/>
      </c>
      <c r="B175" s="81" t="str">
        <f>IF(E175="","",VLOOKUP('OPĆI DIO'!$C$3,'OPĆI DIO'!$L$6:$U$138,9,FALSE))</f>
        <v/>
      </c>
      <c r="C175" s="124" t="str">
        <f t="shared" si="10"/>
        <v/>
      </c>
      <c r="D175" s="80" t="str">
        <f t="shared" si="11"/>
        <v/>
      </c>
      <c r="E175" s="89"/>
      <c r="F175" s="128" t="str">
        <f t="shared" si="12"/>
        <v/>
      </c>
      <c r="G175" s="122"/>
      <c r="H175" s="122"/>
      <c r="I175" s="122"/>
      <c r="J175" s="89"/>
      <c r="L175" t="str">
        <f t="shared" si="13"/>
        <v/>
      </c>
      <c r="M175" t="str">
        <f t="shared" si="14"/>
        <v/>
      </c>
    </row>
    <row r="176" spans="1:13">
      <c r="A176" s="81" t="str">
        <f>IF(E176="","",VLOOKUP('OPĆI DIO'!$C$3,'OPĆI DIO'!$L$6:$U$138,10,FALSE))</f>
        <v/>
      </c>
      <c r="B176" s="81" t="str">
        <f>IF(E176="","",VLOOKUP('OPĆI DIO'!$C$3,'OPĆI DIO'!$L$6:$U$138,9,FALSE))</f>
        <v/>
      </c>
      <c r="C176" s="124" t="str">
        <f t="shared" si="10"/>
        <v/>
      </c>
      <c r="D176" s="80" t="str">
        <f t="shared" si="11"/>
        <v/>
      </c>
      <c r="E176" s="89"/>
      <c r="F176" s="128" t="str">
        <f t="shared" si="12"/>
        <v/>
      </c>
      <c r="G176" s="122"/>
      <c r="H176" s="122"/>
      <c r="I176" s="122"/>
      <c r="J176" s="89"/>
      <c r="L176" t="str">
        <f t="shared" si="13"/>
        <v/>
      </c>
      <c r="M176" t="str">
        <f t="shared" si="14"/>
        <v/>
      </c>
    </row>
    <row r="177" spans="1:13">
      <c r="A177" s="81" t="str">
        <f>IF(E177="","",VLOOKUP('OPĆI DIO'!$C$3,'OPĆI DIO'!$L$6:$U$138,10,FALSE))</f>
        <v/>
      </c>
      <c r="B177" s="81" t="str">
        <f>IF(E177="","",VLOOKUP('OPĆI DIO'!$C$3,'OPĆI DIO'!$L$6:$U$138,9,FALSE))</f>
        <v/>
      </c>
      <c r="C177" s="124" t="str">
        <f t="shared" si="10"/>
        <v/>
      </c>
      <c r="D177" s="80" t="str">
        <f t="shared" si="11"/>
        <v/>
      </c>
      <c r="E177" s="89"/>
      <c r="F177" s="128" t="str">
        <f t="shared" si="12"/>
        <v/>
      </c>
      <c r="G177" s="122"/>
      <c r="H177" s="122"/>
      <c r="I177" s="122"/>
      <c r="J177" s="89"/>
      <c r="L177" t="str">
        <f t="shared" si="13"/>
        <v/>
      </c>
      <c r="M177" t="str">
        <f t="shared" si="14"/>
        <v/>
      </c>
    </row>
    <row r="178" spans="1:13">
      <c r="A178" s="81" t="str">
        <f>IF(E178="","",VLOOKUP('OPĆI DIO'!$C$3,'OPĆI DIO'!$L$6:$U$138,10,FALSE))</f>
        <v/>
      </c>
      <c r="B178" s="81" t="str">
        <f>IF(E178="","",VLOOKUP('OPĆI DIO'!$C$3,'OPĆI DIO'!$L$6:$U$138,9,FALSE))</f>
        <v/>
      </c>
      <c r="C178" s="124" t="str">
        <f t="shared" si="10"/>
        <v/>
      </c>
      <c r="D178" s="80" t="str">
        <f t="shared" si="11"/>
        <v/>
      </c>
      <c r="E178" s="89"/>
      <c r="F178" s="128" t="str">
        <f t="shared" si="12"/>
        <v/>
      </c>
      <c r="G178" s="122"/>
      <c r="H178" s="122"/>
      <c r="I178" s="122"/>
      <c r="J178" s="89"/>
      <c r="L178" t="str">
        <f t="shared" si="13"/>
        <v/>
      </c>
      <c r="M178" t="str">
        <f t="shared" si="14"/>
        <v/>
      </c>
    </row>
    <row r="179" spans="1:13">
      <c r="A179" s="81" t="str">
        <f>IF(E179="","",VLOOKUP('OPĆI DIO'!$C$3,'OPĆI DIO'!$L$6:$U$138,10,FALSE))</f>
        <v/>
      </c>
      <c r="B179" s="81" t="str">
        <f>IF(E179="","",VLOOKUP('OPĆI DIO'!$C$3,'OPĆI DIO'!$L$6:$U$138,9,FALSE))</f>
        <v/>
      </c>
      <c r="C179" s="124" t="str">
        <f t="shared" si="10"/>
        <v/>
      </c>
      <c r="D179" s="80" t="str">
        <f t="shared" si="11"/>
        <v/>
      </c>
      <c r="E179" s="89"/>
      <c r="F179" s="128" t="str">
        <f t="shared" si="12"/>
        <v/>
      </c>
      <c r="G179" s="122"/>
      <c r="H179" s="122"/>
      <c r="I179" s="122"/>
      <c r="J179" s="89"/>
      <c r="L179" t="str">
        <f t="shared" si="13"/>
        <v/>
      </c>
      <c r="M179" t="str">
        <f t="shared" si="14"/>
        <v/>
      </c>
    </row>
    <row r="180" spans="1:13">
      <c r="A180" s="81" t="str">
        <f>IF(E180="","",VLOOKUP('OPĆI DIO'!$C$3,'OPĆI DIO'!$L$6:$U$138,10,FALSE))</f>
        <v/>
      </c>
      <c r="B180" s="81" t="str">
        <f>IF(E180="","",VLOOKUP('OPĆI DIO'!$C$3,'OPĆI DIO'!$L$6:$U$138,9,FALSE))</f>
        <v/>
      </c>
      <c r="C180" s="124" t="str">
        <f t="shared" si="10"/>
        <v/>
      </c>
      <c r="D180" s="80" t="str">
        <f t="shared" si="11"/>
        <v/>
      </c>
      <c r="E180" s="89"/>
      <c r="F180" s="128" t="str">
        <f t="shared" si="12"/>
        <v/>
      </c>
      <c r="G180" s="122"/>
      <c r="H180" s="122"/>
      <c r="I180" s="122"/>
      <c r="J180" s="89"/>
      <c r="L180" t="str">
        <f t="shared" si="13"/>
        <v/>
      </c>
      <c r="M180" t="str">
        <f t="shared" si="14"/>
        <v/>
      </c>
    </row>
    <row r="181" spans="1:13">
      <c r="A181" s="81" t="str">
        <f>IF(E181="","",VLOOKUP('OPĆI DIO'!$C$3,'OPĆI DIO'!$L$6:$U$138,10,FALSE))</f>
        <v/>
      </c>
      <c r="B181" s="81" t="str">
        <f>IF(E181="","",VLOOKUP('OPĆI DIO'!$C$3,'OPĆI DIO'!$L$6:$U$138,9,FALSE))</f>
        <v/>
      </c>
      <c r="C181" s="124" t="str">
        <f t="shared" si="10"/>
        <v/>
      </c>
      <c r="D181" s="80" t="str">
        <f t="shared" si="11"/>
        <v/>
      </c>
      <c r="E181" s="89"/>
      <c r="F181" s="128" t="str">
        <f t="shared" si="12"/>
        <v/>
      </c>
      <c r="G181" s="122"/>
      <c r="H181" s="122"/>
      <c r="I181" s="122"/>
      <c r="J181" s="89"/>
      <c r="L181" t="str">
        <f t="shared" si="13"/>
        <v/>
      </c>
      <c r="M181" t="str">
        <f t="shared" si="14"/>
        <v/>
      </c>
    </row>
    <row r="182" spans="1:13">
      <c r="A182" s="81" t="str">
        <f>IF(E182="","",VLOOKUP('OPĆI DIO'!$C$3,'OPĆI DIO'!$L$6:$U$138,10,FALSE))</f>
        <v/>
      </c>
      <c r="B182" s="81" t="str">
        <f>IF(E182="","",VLOOKUP('OPĆI DIO'!$C$3,'OPĆI DIO'!$L$6:$U$138,9,FALSE))</f>
        <v/>
      </c>
      <c r="C182" s="124" t="str">
        <f t="shared" si="10"/>
        <v/>
      </c>
      <c r="D182" s="80" t="str">
        <f t="shared" si="11"/>
        <v/>
      </c>
      <c r="E182" s="89"/>
      <c r="F182" s="128" t="str">
        <f t="shared" si="12"/>
        <v/>
      </c>
      <c r="G182" s="122"/>
      <c r="H182" s="122"/>
      <c r="I182" s="122"/>
      <c r="J182" s="89"/>
      <c r="L182" t="str">
        <f t="shared" si="13"/>
        <v/>
      </c>
      <c r="M182" t="str">
        <f t="shared" si="14"/>
        <v/>
      </c>
    </row>
    <row r="183" spans="1:13">
      <c r="A183" s="81" t="str">
        <f>IF(E183="","",VLOOKUP('OPĆI DIO'!$C$3,'OPĆI DIO'!$L$6:$U$138,10,FALSE))</f>
        <v/>
      </c>
      <c r="B183" s="81" t="str">
        <f>IF(E183="","",VLOOKUP('OPĆI DIO'!$C$3,'OPĆI DIO'!$L$6:$U$138,9,FALSE))</f>
        <v/>
      </c>
      <c r="C183" s="124" t="str">
        <f t="shared" si="10"/>
        <v/>
      </c>
      <c r="D183" s="80" t="str">
        <f t="shared" si="11"/>
        <v/>
      </c>
      <c r="E183" s="89"/>
      <c r="F183" s="128" t="str">
        <f t="shared" si="12"/>
        <v/>
      </c>
      <c r="G183" s="122"/>
      <c r="H183" s="122"/>
      <c r="I183" s="122"/>
      <c r="J183" s="89"/>
      <c r="L183" t="str">
        <f t="shared" si="13"/>
        <v/>
      </c>
      <c r="M183" t="str">
        <f t="shared" si="14"/>
        <v/>
      </c>
    </row>
    <row r="184" spans="1:13">
      <c r="A184" s="81" t="str">
        <f>IF(E184="","",VLOOKUP('OPĆI DIO'!$C$3,'OPĆI DIO'!$L$6:$U$138,10,FALSE))</f>
        <v/>
      </c>
      <c r="B184" s="81" t="str">
        <f>IF(E184="","",VLOOKUP('OPĆI DIO'!$C$3,'OPĆI DIO'!$L$6:$U$138,9,FALSE))</f>
        <v/>
      </c>
      <c r="C184" s="124" t="str">
        <f t="shared" si="10"/>
        <v/>
      </c>
      <c r="D184" s="80" t="str">
        <f t="shared" si="11"/>
        <v/>
      </c>
      <c r="E184" s="89"/>
      <c r="F184" s="128" t="str">
        <f t="shared" si="12"/>
        <v/>
      </c>
      <c r="G184" s="122"/>
      <c r="H184" s="122"/>
      <c r="I184" s="122"/>
      <c r="J184" s="89"/>
      <c r="L184" t="str">
        <f t="shared" si="13"/>
        <v/>
      </c>
      <c r="M184" t="str">
        <f t="shared" si="14"/>
        <v/>
      </c>
    </row>
    <row r="185" spans="1:13">
      <c r="A185" s="81" t="str">
        <f>IF(E185="","",VLOOKUP('OPĆI DIO'!$C$3,'OPĆI DIO'!$L$6:$U$138,10,FALSE))</f>
        <v/>
      </c>
      <c r="B185" s="81" t="str">
        <f>IF(E185="","",VLOOKUP('OPĆI DIO'!$C$3,'OPĆI DIO'!$L$6:$U$138,9,FALSE))</f>
        <v/>
      </c>
      <c r="C185" s="124" t="str">
        <f t="shared" si="10"/>
        <v/>
      </c>
      <c r="D185" s="80" t="str">
        <f t="shared" si="11"/>
        <v/>
      </c>
      <c r="E185" s="89"/>
      <c r="F185" s="128" t="str">
        <f t="shared" si="12"/>
        <v/>
      </c>
      <c r="G185" s="122"/>
      <c r="H185" s="122"/>
      <c r="I185" s="122"/>
      <c r="J185" s="89"/>
      <c r="L185" t="str">
        <f t="shared" si="13"/>
        <v/>
      </c>
      <c r="M185" t="str">
        <f t="shared" si="14"/>
        <v/>
      </c>
    </row>
    <row r="186" spans="1:13">
      <c r="A186" s="81" t="str">
        <f>IF(E186="","",VLOOKUP('OPĆI DIO'!$C$3,'OPĆI DIO'!$L$6:$U$138,10,FALSE))</f>
        <v/>
      </c>
      <c r="B186" s="81" t="str">
        <f>IF(E186="","",VLOOKUP('OPĆI DIO'!$C$3,'OPĆI DIO'!$L$6:$U$138,9,FALSE))</f>
        <v/>
      </c>
      <c r="C186" s="124" t="str">
        <f t="shared" si="10"/>
        <v/>
      </c>
      <c r="D186" s="80" t="str">
        <f t="shared" si="11"/>
        <v/>
      </c>
      <c r="E186" s="89"/>
      <c r="F186" s="128" t="str">
        <f t="shared" si="12"/>
        <v/>
      </c>
      <c r="G186" s="122"/>
      <c r="H186" s="122"/>
      <c r="I186" s="122"/>
      <c r="J186" s="89"/>
      <c r="L186" t="str">
        <f t="shared" si="13"/>
        <v/>
      </c>
      <c r="M186" t="str">
        <f t="shared" si="14"/>
        <v/>
      </c>
    </row>
    <row r="187" spans="1:13">
      <c r="A187" s="81" t="str">
        <f>IF(E187="","",VLOOKUP('OPĆI DIO'!$C$3,'OPĆI DIO'!$L$6:$U$138,10,FALSE))</f>
        <v/>
      </c>
      <c r="B187" s="81" t="str">
        <f>IF(E187="","",VLOOKUP('OPĆI DIO'!$C$3,'OPĆI DIO'!$L$6:$U$138,9,FALSE))</f>
        <v/>
      </c>
      <c r="C187" s="124" t="str">
        <f t="shared" si="10"/>
        <v/>
      </c>
      <c r="D187" s="80" t="str">
        <f t="shared" si="11"/>
        <v/>
      </c>
      <c r="E187" s="89"/>
      <c r="F187" s="128" t="str">
        <f t="shared" si="12"/>
        <v/>
      </c>
      <c r="G187" s="122"/>
      <c r="H187" s="122"/>
      <c r="I187" s="122"/>
      <c r="J187" s="89"/>
      <c r="L187" t="str">
        <f t="shared" si="13"/>
        <v/>
      </c>
      <c r="M187" t="str">
        <f t="shared" si="14"/>
        <v/>
      </c>
    </row>
    <row r="188" spans="1:13">
      <c r="A188" s="81" t="str">
        <f>IF(E188="","",VLOOKUP('OPĆI DIO'!$C$3,'OPĆI DIO'!$L$6:$U$138,10,FALSE))</f>
        <v/>
      </c>
      <c r="B188" s="81" t="str">
        <f>IF(E188="","",VLOOKUP('OPĆI DIO'!$C$3,'OPĆI DIO'!$L$6:$U$138,9,FALSE))</f>
        <v/>
      </c>
      <c r="C188" s="124" t="str">
        <f t="shared" si="10"/>
        <v/>
      </c>
      <c r="D188" s="80" t="str">
        <f t="shared" si="11"/>
        <v/>
      </c>
      <c r="E188" s="89"/>
      <c r="F188" s="128" t="str">
        <f t="shared" si="12"/>
        <v/>
      </c>
      <c r="G188" s="122"/>
      <c r="H188" s="122"/>
      <c r="I188" s="122"/>
      <c r="J188" s="89"/>
      <c r="L188" t="str">
        <f t="shared" si="13"/>
        <v/>
      </c>
      <c r="M188" t="str">
        <f t="shared" si="14"/>
        <v/>
      </c>
    </row>
    <row r="189" spans="1:13">
      <c r="A189" s="81" t="str">
        <f>IF(E189="","",VLOOKUP('OPĆI DIO'!$C$3,'OPĆI DIO'!$L$6:$U$138,10,FALSE))</f>
        <v/>
      </c>
      <c r="B189" s="81" t="str">
        <f>IF(E189="","",VLOOKUP('OPĆI DIO'!$C$3,'OPĆI DIO'!$L$6:$U$138,9,FALSE))</f>
        <v/>
      </c>
      <c r="C189" s="124" t="str">
        <f t="shared" si="10"/>
        <v/>
      </c>
      <c r="D189" s="80" t="str">
        <f t="shared" si="11"/>
        <v/>
      </c>
      <c r="E189" s="89"/>
      <c r="F189" s="128" t="str">
        <f t="shared" si="12"/>
        <v/>
      </c>
      <c r="G189" s="122"/>
      <c r="H189" s="122"/>
      <c r="I189" s="122"/>
      <c r="J189" s="89"/>
      <c r="L189" t="str">
        <f t="shared" si="13"/>
        <v/>
      </c>
      <c r="M189" t="str">
        <f t="shared" si="14"/>
        <v/>
      </c>
    </row>
    <row r="190" spans="1:13">
      <c r="A190" s="81" t="str">
        <f>IF(E190="","",VLOOKUP('OPĆI DIO'!$C$3,'OPĆI DIO'!$L$6:$U$138,10,FALSE))</f>
        <v/>
      </c>
      <c r="B190" s="81" t="str">
        <f>IF(E190="","",VLOOKUP('OPĆI DIO'!$C$3,'OPĆI DIO'!$L$6:$U$138,9,FALSE))</f>
        <v/>
      </c>
      <c r="C190" s="124" t="str">
        <f t="shared" si="10"/>
        <v/>
      </c>
      <c r="D190" s="80" t="str">
        <f t="shared" si="11"/>
        <v/>
      </c>
      <c r="E190" s="89"/>
      <c r="F190" s="128" t="str">
        <f t="shared" si="12"/>
        <v/>
      </c>
      <c r="G190" s="122"/>
      <c r="H190" s="122"/>
      <c r="I190" s="122"/>
      <c r="J190" s="89"/>
      <c r="L190" t="str">
        <f t="shared" si="13"/>
        <v/>
      </c>
      <c r="M190" t="str">
        <f t="shared" si="14"/>
        <v/>
      </c>
    </row>
    <row r="191" spans="1:13">
      <c r="A191" s="81" t="str">
        <f>IF(E191="","",VLOOKUP('OPĆI DIO'!$C$3,'OPĆI DIO'!$L$6:$U$138,10,FALSE))</f>
        <v/>
      </c>
      <c r="B191" s="81" t="str">
        <f>IF(E191="","",VLOOKUP('OPĆI DIO'!$C$3,'OPĆI DIO'!$L$6:$U$138,9,FALSE))</f>
        <v/>
      </c>
      <c r="C191" s="124" t="str">
        <f t="shared" si="10"/>
        <v/>
      </c>
      <c r="D191" s="80" t="str">
        <f t="shared" si="11"/>
        <v/>
      </c>
      <c r="E191" s="89"/>
      <c r="F191" s="128" t="str">
        <f t="shared" si="12"/>
        <v/>
      </c>
      <c r="G191" s="122"/>
      <c r="H191" s="122"/>
      <c r="I191" s="122"/>
      <c r="J191" s="89"/>
      <c r="L191" t="str">
        <f t="shared" si="13"/>
        <v/>
      </c>
      <c r="M191" t="str">
        <f t="shared" si="14"/>
        <v/>
      </c>
    </row>
    <row r="192" spans="1:13">
      <c r="A192" s="81" t="str">
        <f>IF(E192="","",VLOOKUP('OPĆI DIO'!$C$3,'OPĆI DIO'!$L$6:$U$138,10,FALSE))</f>
        <v/>
      </c>
      <c r="B192" s="81" t="str">
        <f>IF(E192="","",VLOOKUP('OPĆI DIO'!$C$3,'OPĆI DIO'!$L$6:$U$138,9,FALSE))</f>
        <v/>
      </c>
      <c r="C192" s="124" t="str">
        <f t="shared" si="10"/>
        <v/>
      </c>
      <c r="D192" s="80" t="str">
        <f t="shared" si="11"/>
        <v/>
      </c>
      <c r="E192" s="89"/>
      <c r="F192" s="128" t="str">
        <f t="shared" si="12"/>
        <v/>
      </c>
      <c r="G192" s="122"/>
      <c r="H192" s="122"/>
      <c r="I192" s="122"/>
      <c r="J192" s="89"/>
      <c r="L192" t="str">
        <f t="shared" si="13"/>
        <v/>
      </c>
      <c r="M192" t="str">
        <f t="shared" si="14"/>
        <v/>
      </c>
    </row>
    <row r="193" spans="1:13">
      <c r="A193" s="81" t="str">
        <f>IF(E193="","",VLOOKUP('OPĆI DIO'!$C$3,'OPĆI DIO'!$L$6:$U$138,10,FALSE))</f>
        <v/>
      </c>
      <c r="B193" s="81" t="str">
        <f>IF(E193="","",VLOOKUP('OPĆI DIO'!$C$3,'OPĆI DIO'!$L$6:$U$138,9,FALSE))</f>
        <v/>
      </c>
      <c r="C193" s="124" t="str">
        <f t="shared" si="10"/>
        <v/>
      </c>
      <c r="D193" s="80" t="str">
        <f t="shared" si="11"/>
        <v/>
      </c>
      <c r="E193" s="89"/>
      <c r="F193" s="128" t="str">
        <f t="shared" si="12"/>
        <v/>
      </c>
      <c r="G193" s="122"/>
      <c r="H193" s="122"/>
      <c r="I193" s="122"/>
      <c r="J193" s="89"/>
      <c r="L193" t="str">
        <f t="shared" si="13"/>
        <v/>
      </c>
      <c r="M193" t="str">
        <f t="shared" si="14"/>
        <v/>
      </c>
    </row>
    <row r="194" spans="1:13">
      <c r="A194" s="81" t="str">
        <f>IF(E194="","",VLOOKUP('OPĆI DIO'!$C$3,'OPĆI DIO'!$L$6:$U$138,10,FALSE))</f>
        <v/>
      </c>
      <c r="B194" s="81" t="str">
        <f>IF(E194="","",VLOOKUP('OPĆI DIO'!$C$3,'OPĆI DIO'!$L$6:$U$138,9,FALSE))</f>
        <v/>
      </c>
      <c r="C194" s="124" t="str">
        <f t="shared" si="10"/>
        <v/>
      </c>
      <c r="D194" s="80" t="str">
        <f t="shared" si="11"/>
        <v/>
      </c>
      <c r="E194" s="89"/>
      <c r="F194" s="128" t="str">
        <f t="shared" si="12"/>
        <v/>
      </c>
      <c r="G194" s="122"/>
      <c r="H194" s="122"/>
      <c r="I194" s="122"/>
      <c r="J194" s="89"/>
      <c r="L194" t="str">
        <f t="shared" si="13"/>
        <v/>
      </c>
      <c r="M194" t="str">
        <f t="shared" si="14"/>
        <v/>
      </c>
    </row>
    <row r="195" spans="1:13">
      <c r="A195" s="81" t="str">
        <f>IF(E195="","",VLOOKUP('OPĆI DIO'!$C$3,'OPĆI DIO'!$L$6:$U$138,10,FALSE))</f>
        <v/>
      </c>
      <c r="B195" s="81" t="str">
        <f>IF(E195="","",VLOOKUP('OPĆI DIO'!$C$3,'OPĆI DIO'!$L$6:$U$138,9,FALSE))</f>
        <v/>
      </c>
      <c r="C195" s="124" t="str">
        <f t="shared" ref="C195:C258" si="15">IFERROR(VLOOKUP(E195,$R$6:$U$108,3,FALSE),"")</f>
        <v/>
      </c>
      <c r="D195" s="80" t="str">
        <f t="shared" ref="D195:D258" si="16">IFERROR(VLOOKUP(E195,$R$6:$U$108,4,FALSE),"")</f>
        <v/>
      </c>
      <c r="E195" s="89"/>
      <c r="F195" s="128" t="str">
        <f t="shared" ref="F195:F258" si="17">IFERROR(VLOOKUP(E195,$R$6:$U$108,2,FALSE),"")</f>
        <v/>
      </c>
      <c r="G195" s="122"/>
      <c r="H195" s="122"/>
      <c r="I195" s="122"/>
      <c r="J195" s="89"/>
      <c r="L195" t="str">
        <f t="shared" si="13"/>
        <v/>
      </c>
      <c r="M195" t="str">
        <f t="shared" si="14"/>
        <v/>
      </c>
    </row>
    <row r="196" spans="1:13">
      <c r="A196" s="81" t="str">
        <f>IF(E196="","",VLOOKUP('OPĆI DIO'!$C$3,'OPĆI DIO'!$L$6:$U$138,10,FALSE))</f>
        <v/>
      </c>
      <c r="B196" s="81" t="str">
        <f>IF(E196="","",VLOOKUP('OPĆI DIO'!$C$3,'OPĆI DIO'!$L$6:$U$138,9,FALSE))</f>
        <v/>
      </c>
      <c r="C196" s="124" t="str">
        <f t="shared" si="15"/>
        <v/>
      </c>
      <c r="D196" s="80" t="str">
        <f t="shared" si="16"/>
        <v/>
      </c>
      <c r="E196" s="89"/>
      <c r="F196" s="128" t="str">
        <f t="shared" si="17"/>
        <v/>
      </c>
      <c r="G196" s="122"/>
      <c r="H196" s="122"/>
      <c r="I196" s="122"/>
      <c r="J196" s="89"/>
      <c r="L196" t="str">
        <f t="shared" ref="L196:L259" si="18">LEFT(E196,2)</f>
        <v/>
      </c>
      <c r="M196" t="str">
        <f t="shared" ref="M196:M259" si="19">LEFT(E196,3)</f>
        <v/>
      </c>
    </row>
    <row r="197" spans="1:13">
      <c r="A197" s="81" t="str">
        <f>IF(E197="","",VLOOKUP('OPĆI DIO'!$C$3,'OPĆI DIO'!$L$6:$U$138,10,FALSE))</f>
        <v/>
      </c>
      <c r="B197" s="81" t="str">
        <f>IF(E197="","",VLOOKUP('OPĆI DIO'!$C$3,'OPĆI DIO'!$L$6:$U$138,9,FALSE))</f>
        <v/>
      </c>
      <c r="C197" s="124" t="str">
        <f t="shared" si="15"/>
        <v/>
      </c>
      <c r="D197" s="80" t="str">
        <f t="shared" si="16"/>
        <v/>
      </c>
      <c r="E197" s="89"/>
      <c r="F197" s="128" t="str">
        <f t="shared" si="17"/>
        <v/>
      </c>
      <c r="G197" s="122"/>
      <c r="H197" s="122"/>
      <c r="I197" s="122"/>
      <c r="J197" s="89"/>
      <c r="L197" t="str">
        <f t="shared" si="18"/>
        <v/>
      </c>
      <c r="M197" t="str">
        <f t="shared" si="19"/>
        <v/>
      </c>
    </row>
    <row r="198" spans="1:13">
      <c r="A198" s="81" t="str">
        <f>IF(E198="","",VLOOKUP('OPĆI DIO'!$C$3,'OPĆI DIO'!$L$6:$U$138,10,FALSE))</f>
        <v/>
      </c>
      <c r="B198" s="81" t="str">
        <f>IF(E198="","",VLOOKUP('OPĆI DIO'!$C$3,'OPĆI DIO'!$L$6:$U$138,9,FALSE))</f>
        <v/>
      </c>
      <c r="C198" s="124" t="str">
        <f t="shared" si="15"/>
        <v/>
      </c>
      <c r="D198" s="80" t="str">
        <f t="shared" si="16"/>
        <v/>
      </c>
      <c r="E198" s="89"/>
      <c r="F198" s="128" t="str">
        <f t="shared" si="17"/>
        <v/>
      </c>
      <c r="G198" s="122"/>
      <c r="H198" s="122"/>
      <c r="I198" s="122"/>
      <c r="J198" s="89"/>
      <c r="L198" t="str">
        <f t="shared" si="18"/>
        <v/>
      </c>
      <c r="M198" t="str">
        <f t="shared" si="19"/>
        <v/>
      </c>
    </row>
    <row r="199" spans="1:13">
      <c r="A199" s="81" t="str">
        <f>IF(E199="","",VLOOKUP('OPĆI DIO'!$C$3,'OPĆI DIO'!$L$6:$U$138,10,FALSE))</f>
        <v/>
      </c>
      <c r="B199" s="81" t="str">
        <f>IF(E199="","",VLOOKUP('OPĆI DIO'!$C$3,'OPĆI DIO'!$L$6:$U$138,9,FALSE))</f>
        <v/>
      </c>
      <c r="C199" s="124" t="str">
        <f t="shared" si="15"/>
        <v/>
      </c>
      <c r="D199" s="80" t="str">
        <f t="shared" si="16"/>
        <v/>
      </c>
      <c r="E199" s="89"/>
      <c r="F199" s="128" t="str">
        <f t="shared" si="17"/>
        <v/>
      </c>
      <c r="G199" s="122"/>
      <c r="H199" s="122"/>
      <c r="I199" s="122"/>
      <c r="J199" s="89"/>
      <c r="L199" t="str">
        <f t="shared" si="18"/>
        <v/>
      </c>
      <c r="M199" t="str">
        <f t="shared" si="19"/>
        <v/>
      </c>
    </row>
    <row r="200" spans="1:13">
      <c r="A200" s="81" t="str">
        <f>IF(E200="","",VLOOKUP('OPĆI DIO'!$C$3,'OPĆI DIO'!$L$6:$U$138,10,FALSE))</f>
        <v/>
      </c>
      <c r="B200" s="81" t="str">
        <f>IF(E200="","",VLOOKUP('OPĆI DIO'!$C$3,'OPĆI DIO'!$L$6:$U$138,9,FALSE))</f>
        <v/>
      </c>
      <c r="C200" s="124" t="str">
        <f t="shared" si="15"/>
        <v/>
      </c>
      <c r="D200" s="80" t="str">
        <f t="shared" si="16"/>
        <v/>
      </c>
      <c r="E200" s="89"/>
      <c r="F200" s="128" t="str">
        <f t="shared" si="17"/>
        <v/>
      </c>
      <c r="G200" s="122"/>
      <c r="H200" s="122"/>
      <c r="I200" s="122"/>
      <c r="J200" s="89"/>
      <c r="L200" t="str">
        <f t="shared" si="18"/>
        <v/>
      </c>
      <c r="M200" t="str">
        <f t="shared" si="19"/>
        <v/>
      </c>
    </row>
    <row r="201" spans="1:13">
      <c r="A201" s="81" t="str">
        <f>IF(E201="","",VLOOKUP('OPĆI DIO'!$C$3,'OPĆI DIO'!$L$6:$U$138,10,FALSE))</f>
        <v/>
      </c>
      <c r="B201" s="81" t="str">
        <f>IF(E201="","",VLOOKUP('OPĆI DIO'!$C$3,'OPĆI DIO'!$L$6:$U$138,9,FALSE))</f>
        <v/>
      </c>
      <c r="C201" s="124" t="str">
        <f t="shared" si="15"/>
        <v/>
      </c>
      <c r="D201" s="80" t="str">
        <f t="shared" si="16"/>
        <v/>
      </c>
      <c r="E201" s="89"/>
      <c r="F201" s="128" t="str">
        <f t="shared" si="17"/>
        <v/>
      </c>
      <c r="G201" s="122"/>
      <c r="H201" s="122"/>
      <c r="I201" s="122"/>
      <c r="J201" s="89"/>
      <c r="L201" t="str">
        <f t="shared" si="18"/>
        <v/>
      </c>
      <c r="M201" t="str">
        <f t="shared" si="19"/>
        <v/>
      </c>
    </row>
    <row r="202" spans="1:13">
      <c r="A202" s="81" t="str">
        <f>IF(E202="","",VLOOKUP('OPĆI DIO'!$C$3,'OPĆI DIO'!$L$6:$U$138,10,FALSE))</f>
        <v/>
      </c>
      <c r="B202" s="81" t="str">
        <f>IF(E202="","",VLOOKUP('OPĆI DIO'!$C$3,'OPĆI DIO'!$L$6:$U$138,9,FALSE))</f>
        <v/>
      </c>
      <c r="C202" s="124" t="str">
        <f t="shared" si="15"/>
        <v/>
      </c>
      <c r="D202" s="80" t="str">
        <f t="shared" si="16"/>
        <v/>
      </c>
      <c r="E202" s="89"/>
      <c r="F202" s="128" t="str">
        <f t="shared" si="17"/>
        <v/>
      </c>
      <c r="G202" s="122"/>
      <c r="H202" s="122"/>
      <c r="I202" s="122"/>
      <c r="J202" s="89"/>
      <c r="L202" t="str">
        <f t="shared" si="18"/>
        <v/>
      </c>
      <c r="M202" t="str">
        <f t="shared" si="19"/>
        <v/>
      </c>
    </row>
    <row r="203" spans="1:13">
      <c r="A203" s="81" t="str">
        <f>IF(E203="","",VLOOKUP('OPĆI DIO'!$C$3,'OPĆI DIO'!$L$6:$U$138,10,FALSE))</f>
        <v/>
      </c>
      <c r="B203" s="81" t="str">
        <f>IF(E203="","",VLOOKUP('OPĆI DIO'!$C$3,'OPĆI DIO'!$L$6:$U$138,9,FALSE))</f>
        <v/>
      </c>
      <c r="C203" s="124" t="str">
        <f t="shared" si="15"/>
        <v/>
      </c>
      <c r="D203" s="80" t="str">
        <f t="shared" si="16"/>
        <v/>
      </c>
      <c r="E203" s="89"/>
      <c r="F203" s="128" t="str">
        <f t="shared" si="17"/>
        <v/>
      </c>
      <c r="G203" s="122"/>
      <c r="H203" s="122"/>
      <c r="I203" s="122"/>
      <c r="J203" s="89"/>
      <c r="L203" t="str">
        <f t="shared" si="18"/>
        <v/>
      </c>
      <c r="M203" t="str">
        <f t="shared" si="19"/>
        <v/>
      </c>
    </row>
    <row r="204" spans="1:13">
      <c r="A204" s="81" t="str">
        <f>IF(E204="","",VLOOKUP('OPĆI DIO'!$C$3,'OPĆI DIO'!$L$6:$U$138,10,FALSE))</f>
        <v/>
      </c>
      <c r="B204" s="81" t="str">
        <f>IF(E204="","",VLOOKUP('OPĆI DIO'!$C$3,'OPĆI DIO'!$L$6:$U$138,9,FALSE))</f>
        <v/>
      </c>
      <c r="C204" s="124" t="str">
        <f t="shared" si="15"/>
        <v/>
      </c>
      <c r="D204" s="80" t="str">
        <f t="shared" si="16"/>
        <v/>
      </c>
      <c r="E204" s="89"/>
      <c r="F204" s="128" t="str">
        <f t="shared" si="17"/>
        <v/>
      </c>
      <c r="G204" s="122"/>
      <c r="H204" s="122"/>
      <c r="I204" s="122"/>
      <c r="J204" s="89"/>
      <c r="L204" t="str">
        <f t="shared" si="18"/>
        <v/>
      </c>
      <c r="M204" t="str">
        <f t="shared" si="19"/>
        <v/>
      </c>
    </row>
    <row r="205" spans="1:13">
      <c r="A205" s="81" t="str">
        <f>IF(E205="","",VLOOKUP('OPĆI DIO'!$C$3,'OPĆI DIO'!$L$6:$U$138,10,FALSE))</f>
        <v/>
      </c>
      <c r="B205" s="81" t="str">
        <f>IF(E205="","",VLOOKUP('OPĆI DIO'!$C$3,'OPĆI DIO'!$L$6:$U$138,9,FALSE))</f>
        <v/>
      </c>
      <c r="C205" s="124" t="str">
        <f t="shared" si="15"/>
        <v/>
      </c>
      <c r="D205" s="80" t="str">
        <f t="shared" si="16"/>
        <v/>
      </c>
      <c r="E205" s="89"/>
      <c r="F205" s="128" t="str">
        <f t="shared" si="17"/>
        <v/>
      </c>
      <c r="G205" s="122"/>
      <c r="H205" s="122"/>
      <c r="I205" s="122"/>
      <c r="J205" s="89"/>
      <c r="L205" t="str">
        <f t="shared" si="18"/>
        <v/>
      </c>
      <c r="M205" t="str">
        <f t="shared" si="19"/>
        <v/>
      </c>
    </row>
    <row r="206" spans="1:13">
      <c r="A206" s="81" t="str">
        <f>IF(E206="","",VLOOKUP('OPĆI DIO'!$C$3,'OPĆI DIO'!$L$6:$U$138,10,FALSE))</f>
        <v/>
      </c>
      <c r="B206" s="81" t="str">
        <f>IF(E206="","",VLOOKUP('OPĆI DIO'!$C$3,'OPĆI DIO'!$L$6:$U$138,9,FALSE))</f>
        <v/>
      </c>
      <c r="C206" s="124" t="str">
        <f t="shared" si="15"/>
        <v/>
      </c>
      <c r="D206" s="80" t="str">
        <f t="shared" si="16"/>
        <v/>
      </c>
      <c r="E206" s="89"/>
      <c r="F206" s="128" t="str">
        <f t="shared" si="17"/>
        <v/>
      </c>
      <c r="G206" s="122"/>
      <c r="H206" s="122"/>
      <c r="I206" s="122"/>
      <c r="J206" s="89"/>
      <c r="L206" t="str">
        <f t="shared" si="18"/>
        <v/>
      </c>
      <c r="M206" t="str">
        <f t="shared" si="19"/>
        <v/>
      </c>
    </row>
    <row r="207" spans="1:13">
      <c r="A207" s="81" t="str">
        <f>IF(E207="","",VLOOKUP('OPĆI DIO'!$C$3,'OPĆI DIO'!$L$6:$U$138,10,FALSE))</f>
        <v/>
      </c>
      <c r="B207" s="81" t="str">
        <f>IF(E207="","",VLOOKUP('OPĆI DIO'!$C$3,'OPĆI DIO'!$L$6:$U$138,9,FALSE))</f>
        <v/>
      </c>
      <c r="C207" s="124" t="str">
        <f t="shared" si="15"/>
        <v/>
      </c>
      <c r="D207" s="80" t="str">
        <f t="shared" si="16"/>
        <v/>
      </c>
      <c r="E207" s="89"/>
      <c r="F207" s="128" t="str">
        <f t="shared" si="17"/>
        <v/>
      </c>
      <c r="G207" s="122"/>
      <c r="H207" s="122"/>
      <c r="I207" s="122"/>
      <c r="J207" s="89"/>
      <c r="L207" t="str">
        <f t="shared" si="18"/>
        <v/>
      </c>
      <c r="M207" t="str">
        <f t="shared" si="19"/>
        <v/>
      </c>
    </row>
    <row r="208" spans="1:13">
      <c r="A208" s="81" t="str">
        <f>IF(E208="","",VLOOKUP('OPĆI DIO'!$C$3,'OPĆI DIO'!$L$6:$U$138,10,FALSE))</f>
        <v/>
      </c>
      <c r="B208" s="81" t="str">
        <f>IF(E208="","",VLOOKUP('OPĆI DIO'!$C$3,'OPĆI DIO'!$L$6:$U$138,9,FALSE))</f>
        <v/>
      </c>
      <c r="C208" s="124" t="str">
        <f t="shared" si="15"/>
        <v/>
      </c>
      <c r="D208" s="80" t="str">
        <f t="shared" si="16"/>
        <v/>
      </c>
      <c r="E208" s="89"/>
      <c r="F208" s="128" t="str">
        <f t="shared" si="17"/>
        <v/>
      </c>
      <c r="G208" s="122"/>
      <c r="H208" s="122"/>
      <c r="I208" s="122"/>
      <c r="J208" s="89"/>
      <c r="L208" t="str">
        <f t="shared" si="18"/>
        <v/>
      </c>
      <c r="M208" t="str">
        <f t="shared" si="19"/>
        <v/>
      </c>
    </row>
    <row r="209" spans="1:13">
      <c r="A209" s="81" t="str">
        <f>IF(E209="","",VLOOKUP('OPĆI DIO'!$C$3,'OPĆI DIO'!$L$6:$U$138,10,FALSE))</f>
        <v/>
      </c>
      <c r="B209" s="81" t="str">
        <f>IF(E209="","",VLOOKUP('OPĆI DIO'!$C$3,'OPĆI DIO'!$L$6:$U$138,9,FALSE))</f>
        <v/>
      </c>
      <c r="C209" s="124" t="str">
        <f t="shared" si="15"/>
        <v/>
      </c>
      <c r="D209" s="80" t="str">
        <f t="shared" si="16"/>
        <v/>
      </c>
      <c r="E209" s="89"/>
      <c r="F209" s="128" t="str">
        <f t="shared" si="17"/>
        <v/>
      </c>
      <c r="G209" s="122"/>
      <c r="H209" s="122"/>
      <c r="I209" s="122"/>
      <c r="J209" s="89"/>
      <c r="L209" t="str">
        <f t="shared" si="18"/>
        <v/>
      </c>
      <c r="M209" t="str">
        <f t="shared" si="19"/>
        <v/>
      </c>
    </row>
    <row r="210" spans="1:13">
      <c r="A210" s="81" t="str">
        <f>IF(E210="","",VLOOKUP('OPĆI DIO'!$C$3,'OPĆI DIO'!$L$6:$U$138,10,FALSE))</f>
        <v/>
      </c>
      <c r="B210" s="81" t="str">
        <f>IF(E210="","",VLOOKUP('OPĆI DIO'!$C$3,'OPĆI DIO'!$L$6:$U$138,9,FALSE))</f>
        <v/>
      </c>
      <c r="C210" s="124" t="str">
        <f t="shared" si="15"/>
        <v/>
      </c>
      <c r="D210" s="80" t="str">
        <f t="shared" si="16"/>
        <v/>
      </c>
      <c r="E210" s="89"/>
      <c r="F210" s="128" t="str">
        <f t="shared" si="17"/>
        <v/>
      </c>
      <c r="G210" s="122"/>
      <c r="H210" s="122"/>
      <c r="I210" s="122"/>
      <c r="J210" s="89"/>
      <c r="L210" t="str">
        <f t="shared" si="18"/>
        <v/>
      </c>
      <c r="M210" t="str">
        <f t="shared" si="19"/>
        <v/>
      </c>
    </row>
    <row r="211" spans="1:13">
      <c r="A211" s="81" t="str">
        <f>IF(E211="","",VLOOKUP('OPĆI DIO'!$C$3,'OPĆI DIO'!$L$6:$U$138,10,FALSE))</f>
        <v/>
      </c>
      <c r="B211" s="81" t="str">
        <f>IF(E211="","",VLOOKUP('OPĆI DIO'!$C$3,'OPĆI DIO'!$L$6:$U$138,9,FALSE))</f>
        <v/>
      </c>
      <c r="C211" s="124" t="str">
        <f t="shared" si="15"/>
        <v/>
      </c>
      <c r="D211" s="80" t="str">
        <f t="shared" si="16"/>
        <v/>
      </c>
      <c r="E211" s="89"/>
      <c r="F211" s="128" t="str">
        <f t="shared" si="17"/>
        <v/>
      </c>
      <c r="G211" s="122"/>
      <c r="H211" s="122"/>
      <c r="I211" s="122"/>
      <c r="J211" s="89"/>
      <c r="L211" t="str">
        <f t="shared" si="18"/>
        <v/>
      </c>
      <c r="M211" t="str">
        <f t="shared" si="19"/>
        <v/>
      </c>
    </row>
    <row r="212" spans="1:13">
      <c r="A212" s="81" t="str">
        <f>IF(E212="","",VLOOKUP('OPĆI DIO'!$C$3,'OPĆI DIO'!$L$6:$U$138,10,FALSE))</f>
        <v/>
      </c>
      <c r="B212" s="81" t="str">
        <f>IF(E212="","",VLOOKUP('OPĆI DIO'!$C$3,'OPĆI DIO'!$L$6:$U$138,9,FALSE))</f>
        <v/>
      </c>
      <c r="C212" s="124" t="str">
        <f t="shared" si="15"/>
        <v/>
      </c>
      <c r="D212" s="80" t="str">
        <f t="shared" si="16"/>
        <v/>
      </c>
      <c r="E212" s="89"/>
      <c r="F212" s="128" t="str">
        <f t="shared" si="17"/>
        <v/>
      </c>
      <c r="G212" s="122"/>
      <c r="H212" s="122"/>
      <c r="I212" s="122"/>
      <c r="J212" s="89"/>
      <c r="L212" t="str">
        <f t="shared" si="18"/>
        <v/>
      </c>
      <c r="M212" t="str">
        <f t="shared" si="19"/>
        <v/>
      </c>
    </row>
    <row r="213" spans="1:13">
      <c r="A213" s="81" t="str">
        <f>IF(E213="","",VLOOKUP('OPĆI DIO'!$C$3,'OPĆI DIO'!$L$6:$U$138,10,FALSE))</f>
        <v/>
      </c>
      <c r="B213" s="81" t="str">
        <f>IF(E213="","",VLOOKUP('OPĆI DIO'!$C$3,'OPĆI DIO'!$L$6:$U$138,9,FALSE))</f>
        <v/>
      </c>
      <c r="C213" s="124" t="str">
        <f t="shared" si="15"/>
        <v/>
      </c>
      <c r="D213" s="80" t="str">
        <f t="shared" si="16"/>
        <v/>
      </c>
      <c r="E213" s="89"/>
      <c r="F213" s="128" t="str">
        <f t="shared" si="17"/>
        <v/>
      </c>
      <c r="G213" s="122"/>
      <c r="H213" s="122"/>
      <c r="I213" s="122"/>
      <c r="J213" s="89"/>
      <c r="L213" t="str">
        <f t="shared" si="18"/>
        <v/>
      </c>
      <c r="M213" t="str">
        <f t="shared" si="19"/>
        <v/>
      </c>
    </row>
    <row r="214" spans="1:13">
      <c r="A214" s="81" t="str">
        <f>IF(E214="","",VLOOKUP('OPĆI DIO'!$C$3,'OPĆI DIO'!$L$6:$U$138,10,FALSE))</f>
        <v/>
      </c>
      <c r="B214" s="81" t="str">
        <f>IF(E214="","",VLOOKUP('OPĆI DIO'!$C$3,'OPĆI DIO'!$L$6:$U$138,9,FALSE))</f>
        <v/>
      </c>
      <c r="C214" s="124" t="str">
        <f t="shared" si="15"/>
        <v/>
      </c>
      <c r="D214" s="80" t="str">
        <f t="shared" si="16"/>
        <v/>
      </c>
      <c r="E214" s="89"/>
      <c r="F214" s="128" t="str">
        <f t="shared" si="17"/>
        <v/>
      </c>
      <c r="G214" s="122"/>
      <c r="H214" s="122"/>
      <c r="I214" s="122"/>
      <c r="J214" s="89"/>
      <c r="L214" t="str">
        <f t="shared" si="18"/>
        <v/>
      </c>
      <c r="M214" t="str">
        <f t="shared" si="19"/>
        <v/>
      </c>
    </row>
    <row r="215" spans="1:13">
      <c r="A215" s="81" t="str">
        <f>IF(E215="","",VLOOKUP('OPĆI DIO'!$C$3,'OPĆI DIO'!$L$6:$U$138,10,FALSE))</f>
        <v/>
      </c>
      <c r="B215" s="81" t="str">
        <f>IF(E215="","",VLOOKUP('OPĆI DIO'!$C$3,'OPĆI DIO'!$L$6:$U$138,9,FALSE))</f>
        <v/>
      </c>
      <c r="C215" s="124" t="str">
        <f t="shared" si="15"/>
        <v/>
      </c>
      <c r="D215" s="80" t="str">
        <f t="shared" si="16"/>
        <v/>
      </c>
      <c r="E215" s="89"/>
      <c r="F215" s="128" t="str">
        <f t="shared" si="17"/>
        <v/>
      </c>
      <c r="G215" s="122"/>
      <c r="H215" s="122"/>
      <c r="I215" s="122"/>
      <c r="J215" s="89"/>
      <c r="L215" t="str">
        <f t="shared" si="18"/>
        <v/>
      </c>
      <c r="M215" t="str">
        <f t="shared" si="19"/>
        <v/>
      </c>
    </row>
    <row r="216" spans="1:13">
      <c r="A216" s="81" t="str">
        <f>IF(E216="","",VLOOKUP('OPĆI DIO'!$C$3,'OPĆI DIO'!$L$6:$U$138,10,FALSE))</f>
        <v/>
      </c>
      <c r="B216" s="81" t="str">
        <f>IF(E216="","",VLOOKUP('OPĆI DIO'!$C$3,'OPĆI DIO'!$L$6:$U$138,9,FALSE))</f>
        <v/>
      </c>
      <c r="C216" s="124" t="str">
        <f t="shared" si="15"/>
        <v/>
      </c>
      <c r="D216" s="80" t="str">
        <f t="shared" si="16"/>
        <v/>
      </c>
      <c r="E216" s="89"/>
      <c r="F216" s="128" t="str">
        <f t="shared" si="17"/>
        <v/>
      </c>
      <c r="G216" s="122"/>
      <c r="H216" s="122"/>
      <c r="I216" s="122"/>
      <c r="J216" s="89"/>
      <c r="L216" t="str">
        <f t="shared" si="18"/>
        <v/>
      </c>
      <c r="M216" t="str">
        <f t="shared" si="19"/>
        <v/>
      </c>
    </row>
    <row r="217" spans="1:13">
      <c r="A217" s="81" t="str">
        <f>IF(E217="","",VLOOKUP('OPĆI DIO'!$C$3,'OPĆI DIO'!$L$6:$U$138,10,FALSE))</f>
        <v/>
      </c>
      <c r="B217" s="81" t="str">
        <f>IF(E217="","",VLOOKUP('OPĆI DIO'!$C$3,'OPĆI DIO'!$L$6:$U$138,9,FALSE))</f>
        <v/>
      </c>
      <c r="C217" s="124" t="str">
        <f t="shared" si="15"/>
        <v/>
      </c>
      <c r="D217" s="80" t="str">
        <f t="shared" si="16"/>
        <v/>
      </c>
      <c r="E217" s="89"/>
      <c r="F217" s="128" t="str">
        <f t="shared" si="17"/>
        <v/>
      </c>
      <c r="G217" s="122"/>
      <c r="H217" s="122"/>
      <c r="I217" s="122"/>
      <c r="J217" s="89"/>
      <c r="L217" t="str">
        <f t="shared" si="18"/>
        <v/>
      </c>
      <c r="M217" t="str">
        <f t="shared" si="19"/>
        <v/>
      </c>
    </row>
    <row r="218" spans="1:13">
      <c r="A218" s="81" t="str">
        <f>IF(E218="","",VLOOKUP('OPĆI DIO'!$C$3,'OPĆI DIO'!$L$6:$U$138,10,FALSE))</f>
        <v/>
      </c>
      <c r="B218" s="81" t="str">
        <f>IF(E218="","",VLOOKUP('OPĆI DIO'!$C$3,'OPĆI DIO'!$L$6:$U$138,9,FALSE))</f>
        <v/>
      </c>
      <c r="C218" s="124" t="str">
        <f t="shared" si="15"/>
        <v/>
      </c>
      <c r="D218" s="80" t="str">
        <f t="shared" si="16"/>
        <v/>
      </c>
      <c r="E218" s="89"/>
      <c r="F218" s="128" t="str">
        <f t="shared" si="17"/>
        <v/>
      </c>
      <c r="G218" s="122"/>
      <c r="H218" s="122"/>
      <c r="I218" s="122"/>
      <c r="J218" s="89"/>
      <c r="L218" t="str">
        <f t="shared" si="18"/>
        <v/>
      </c>
      <c r="M218" t="str">
        <f t="shared" si="19"/>
        <v/>
      </c>
    </row>
    <row r="219" spans="1:13">
      <c r="A219" s="81" t="str">
        <f>IF(E219="","",VLOOKUP('OPĆI DIO'!$C$3,'OPĆI DIO'!$L$6:$U$138,10,FALSE))</f>
        <v/>
      </c>
      <c r="B219" s="81" t="str">
        <f>IF(E219="","",VLOOKUP('OPĆI DIO'!$C$3,'OPĆI DIO'!$L$6:$U$138,9,FALSE))</f>
        <v/>
      </c>
      <c r="C219" s="124" t="str">
        <f t="shared" si="15"/>
        <v/>
      </c>
      <c r="D219" s="80" t="str">
        <f t="shared" si="16"/>
        <v/>
      </c>
      <c r="E219" s="89"/>
      <c r="F219" s="128" t="str">
        <f t="shared" si="17"/>
        <v/>
      </c>
      <c r="G219" s="122"/>
      <c r="H219" s="122"/>
      <c r="I219" s="122"/>
      <c r="J219" s="89"/>
      <c r="L219" t="str">
        <f t="shared" si="18"/>
        <v/>
      </c>
      <c r="M219" t="str">
        <f t="shared" si="19"/>
        <v/>
      </c>
    </row>
    <row r="220" spans="1:13">
      <c r="A220" s="81" t="str">
        <f>IF(E220="","",VLOOKUP('OPĆI DIO'!$C$3,'OPĆI DIO'!$L$6:$U$138,10,FALSE))</f>
        <v/>
      </c>
      <c r="B220" s="81" t="str">
        <f>IF(E220="","",VLOOKUP('OPĆI DIO'!$C$3,'OPĆI DIO'!$L$6:$U$138,9,FALSE))</f>
        <v/>
      </c>
      <c r="C220" s="124" t="str">
        <f t="shared" si="15"/>
        <v/>
      </c>
      <c r="D220" s="80" t="str">
        <f t="shared" si="16"/>
        <v/>
      </c>
      <c r="E220" s="89"/>
      <c r="F220" s="128" t="str">
        <f t="shared" si="17"/>
        <v/>
      </c>
      <c r="G220" s="122"/>
      <c r="H220" s="122"/>
      <c r="I220" s="122"/>
      <c r="J220" s="89"/>
      <c r="L220" t="str">
        <f t="shared" si="18"/>
        <v/>
      </c>
      <c r="M220" t="str">
        <f t="shared" si="19"/>
        <v/>
      </c>
    </row>
    <row r="221" spans="1:13">
      <c r="A221" s="81" t="str">
        <f>IF(E221="","",VLOOKUP('OPĆI DIO'!$C$3,'OPĆI DIO'!$L$6:$U$138,10,FALSE))</f>
        <v/>
      </c>
      <c r="B221" s="81" t="str">
        <f>IF(E221="","",VLOOKUP('OPĆI DIO'!$C$3,'OPĆI DIO'!$L$6:$U$138,9,FALSE))</f>
        <v/>
      </c>
      <c r="C221" s="124" t="str">
        <f t="shared" si="15"/>
        <v/>
      </c>
      <c r="D221" s="80" t="str">
        <f t="shared" si="16"/>
        <v/>
      </c>
      <c r="E221" s="89"/>
      <c r="F221" s="128" t="str">
        <f t="shared" si="17"/>
        <v/>
      </c>
      <c r="G221" s="122"/>
      <c r="H221" s="122"/>
      <c r="I221" s="122"/>
      <c r="J221" s="89"/>
      <c r="L221" t="str">
        <f t="shared" si="18"/>
        <v/>
      </c>
      <c r="M221" t="str">
        <f t="shared" si="19"/>
        <v/>
      </c>
    </row>
    <row r="222" spans="1:13">
      <c r="A222" s="81" t="str">
        <f>IF(E222="","",VLOOKUP('OPĆI DIO'!$C$3,'OPĆI DIO'!$L$6:$U$138,10,FALSE))</f>
        <v/>
      </c>
      <c r="B222" s="81" t="str">
        <f>IF(E222="","",VLOOKUP('OPĆI DIO'!$C$3,'OPĆI DIO'!$L$6:$U$138,9,FALSE))</f>
        <v/>
      </c>
      <c r="C222" s="124" t="str">
        <f t="shared" si="15"/>
        <v/>
      </c>
      <c r="D222" s="80" t="str">
        <f t="shared" si="16"/>
        <v/>
      </c>
      <c r="E222" s="89"/>
      <c r="F222" s="128" t="str">
        <f t="shared" si="17"/>
        <v/>
      </c>
      <c r="G222" s="122"/>
      <c r="H222" s="122"/>
      <c r="I222" s="122"/>
      <c r="J222" s="89"/>
      <c r="L222" t="str">
        <f t="shared" si="18"/>
        <v/>
      </c>
      <c r="M222" t="str">
        <f t="shared" si="19"/>
        <v/>
      </c>
    </row>
    <row r="223" spans="1:13">
      <c r="A223" s="81" t="str">
        <f>IF(E223="","",VLOOKUP('OPĆI DIO'!$C$3,'OPĆI DIO'!$L$6:$U$138,10,FALSE))</f>
        <v/>
      </c>
      <c r="B223" s="81" t="str">
        <f>IF(E223="","",VLOOKUP('OPĆI DIO'!$C$3,'OPĆI DIO'!$L$6:$U$138,9,FALSE))</f>
        <v/>
      </c>
      <c r="C223" s="124" t="str">
        <f t="shared" si="15"/>
        <v/>
      </c>
      <c r="D223" s="80" t="str">
        <f t="shared" si="16"/>
        <v/>
      </c>
      <c r="E223" s="89"/>
      <c r="F223" s="128" t="str">
        <f t="shared" si="17"/>
        <v/>
      </c>
      <c r="G223" s="122"/>
      <c r="H223" s="122"/>
      <c r="I223" s="122"/>
      <c r="J223" s="89"/>
      <c r="L223" t="str">
        <f t="shared" si="18"/>
        <v/>
      </c>
      <c r="M223" t="str">
        <f t="shared" si="19"/>
        <v/>
      </c>
    </row>
    <row r="224" spans="1:13">
      <c r="A224" s="81" t="str">
        <f>IF(E224="","",VLOOKUP('OPĆI DIO'!$C$3,'OPĆI DIO'!$L$6:$U$138,10,FALSE))</f>
        <v/>
      </c>
      <c r="B224" s="81" t="str">
        <f>IF(E224="","",VLOOKUP('OPĆI DIO'!$C$3,'OPĆI DIO'!$L$6:$U$138,9,FALSE))</f>
        <v/>
      </c>
      <c r="C224" s="124" t="str">
        <f t="shared" si="15"/>
        <v/>
      </c>
      <c r="D224" s="80" t="str">
        <f t="shared" si="16"/>
        <v/>
      </c>
      <c r="E224" s="89"/>
      <c r="F224" s="128" t="str">
        <f t="shared" si="17"/>
        <v/>
      </c>
      <c r="G224" s="122"/>
      <c r="H224" s="122"/>
      <c r="I224" s="122"/>
      <c r="J224" s="89"/>
      <c r="L224" t="str">
        <f t="shared" si="18"/>
        <v/>
      </c>
      <c r="M224" t="str">
        <f t="shared" si="19"/>
        <v/>
      </c>
    </row>
    <row r="225" spans="1:13">
      <c r="A225" s="81" t="str">
        <f>IF(E225="","",VLOOKUP('OPĆI DIO'!$C$3,'OPĆI DIO'!$L$6:$U$138,10,FALSE))</f>
        <v/>
      </c>
      <c r="B225" s="81" t="str">
        <f>IF(E225="","",VLOOKUP('OPĆI DIO'!$C$3,'OPĆI DIO'!$L$6:$U$138,9,FALSE))</f>
        <v/>
      </c>
      <c r="C225" s="124" t="str">
        <f t="shared" si="15"/>
        <v/>
      </c>
      <c r="D225" s="80" t="str">
        <f t="shared" si="16"/>
        <v/>
      </c>
      <c r="E225" s="89"/>
      <c r="F225" s="128" t="str">
        <f t="shared" si="17"/>
        <v/>
      </c>
      <c r="G225" s="122"/>
      <c r="H225" s="122"/>
      <c r="I225" s="122"/>
      <c r="J225" s="89"/>
      <c r="L225" t="str">
        <f t="shared" si="18"/>
        <v/>
      </c>
      <c r="M225" t="str">
        <f t="shared" si="19"/>
        <v/>
      </c>
    </row>
    <row r="226" spans="1:13">
      <c r="A226" s="81" t="str">
        <f>IF(E226="","",VLOOKUP('OPĆI DIO'!$C$3,'OPĆI DIO'!$L$6:$U$138,10,FALSE))</f>
        <v/>
      </c>
      <c r="B226" s="81" t="str">
        <f>IF(E226="","",VLOOKUP('OPĆI DIO'!$C$3,'OPĆI DIO'!$L$6:$U$138,9,FALSE))</f>
        <v/>
      </c>
      <c r="C226" s="124" t="str">
        <f t="shared" si="15"/>
        <v/>
      </c>
      <c r="D226" s="80" t="str">
        <f t="shared" si="16"/>
        <v/>
      </c>
      <c r="E226" s="89"/>
      <c r="F226" s="128" t="str">
        <f t="shared" si="17"/>
        <v/>
      </c>
      <c r="G226" s="122"/>
      <c r="H226" s="122"/>
      <c r="I226" s="122"/>
      <c r="J226" s="89"/>
      <c r="L226" t="str">
        <f t="shared" si="18"/>
        <v/>
      </c>
      <c r="M226" t="str">
        <f t="shared" si="19"/>
        <v/>
      </c>
    </row>
    <row r="227" spans="1:13">
      <c r="A227" s="81" t="str">
        <f>IF(E227="","",VLOOKUP('OPĆI DIO'!$C$3,'OPĆI DIO'!$L$6:$U$138,10,FALSE))</f>
        <v/>
      </c>
      <c r="B227" s="81" t="str">
        <f>IF(E227="","",VLOOKUP('OPĆI DIO'!$C$3,'OPĆI DIO'!$L$6:$U$138,9,FALSE))</f>
        <v/>
      </c>
      <c r="C227" s="124" t="str">
        <f t="shared" si="15"/>
        <v/>
      </c>
      <c r="D227" s="80" t="str">
        <f t="shared" si="16"/>
        <v/>
      </c>
      <c r="E227" s="89"/>
      <c r="F227" s="128" t="str">
        <f t="shared" si="17"/>
        <v/>
      </c>
      <c r="G227" s="122"/>
      <c r="H227" s="122"/>
      <c r="I227" s="122"/>
      <c r="J227" s="89"/>
      <c r="L227" t="str">
        <f t="shared" si="18"/>
        <v/>
      </c>
      <c r="M227" t="str">
        <f t="shared" si="19"/>
        <v/>
      </c>
    </row>
    <row r="228" spans="1:13">
      <c r="A228" s="81" t="str">
        <f>IF(E228="","",VLOOKUP('OPĆI DIO'!$C$3,'OPĆI DIO'!$L$6:$U$138,10,FALSE))</f>
        <v/>
      </c>
      <c r="B228" s="81" t="str">
        <f>IF(E228="","",VLOOKUP('OPĆI DIO'!$C$3,'OPĆI DIO'!$L$6:$U$138,9,FALSE))</f>
        <v/>
      </c>
      <c r="C228" s="124" t="str">
        <f t="shared" si="15"/>
        <v/>
      </c>
      <c r="D228" s="80" t="str">
        <f t="shared" si="16"/>
        <v/>
      </c>
      <c r="E228" s="89"/>
      <c r="F228" s="128" t="str">
        <f t="shared" si="17"/>
        <v/>
      </c>
      <c r="G228" s="122"/>
      <c r="H228" s="122"/>
      <c r="I228" s="122"/>
      <c r="J228" s="89"/>
      <c r="L228" t="str">
        <f t="shared" si="18"/>
        <v/>
      </c>
      <c r="M228" t="str">
        <f t="shared" si="19"/>
        <v/>
      </c>
    </row>
    <row r="229" spans="1:13">
      <c r="A229" s="81" t="str">
        <f>IF(E229="","",VLOOKUP('OPĆI DIO'!$C$3,'OPĆI DIO'!$L$6:$U$138,10,FALSE))</f>
        <v/>
      </c>
      <c r="B229" s="81" t="str">
        <f>IF(E229="","",VLOOKUP('OPĆI DIO'!$C$3,'OPĆI DIO'!$L$6:$U$138,9,FALSE))</f>
        <v/>
      </c>
      <c r="C229" s="124" t="str">
        <f t="shared" si="15"/>
        <v/>
      </c>
      <c r="D229" s="80" t="str">
        <f t="shared" si="16"/>
        <v/>
      </c>
      <c r="E229" s="89"/>
      <c r="F229" s="128" t="str">
        <f t="shared" si="17"/>
        <v/>
      </c>
      <c r="G229" s="122"/>
      <c r="H229" s="122"/>
      <c r="I229" s="122"/>
      <c r="J229" s="89"/>
      <c r="L229" t="str">
        <f t="shared" si="18"/>
        <v/>
      </c>
      <c r="M229" t="str">
        <f t="shared" si="19"/>
        <v/>
      </c>
    </row>
    <row r="230" spans="1:13">
      <c r="A230" s="81" t="str">
        <f>IF(E230="","",VLOOKUP('OPĆI DIO'!$C$3,'OPĆI DIO'!$L$6:$U$138,10,FALSE))</f>
        <v/>
      </c>
      <c r="B230" s="81" t="str">
        <f>IF(E230="","",VLOOKUP('OPĆI DIO'!$C$3,'OPĆI DIO'!$L$6:$U$138,9,FALSE))</f>
        <v/>
      </c>
      <c r="C230" s="124" t="str">
        <f t="shared" si="15"/>
        <v/>
      </c>
      <c r="D230" s="80" t="str">
        <f t="shared" si="16"/>
        <v/>
      </c>
      <c r="E230" s="89"/>
      <c r="F230" s="128" t="str">
        <f t="shared" si="17"/>
        <v/>
      </c>
      <c r="G230" s="122"/>
      <c r="H230" s="122"/>
      <c r="I230" s="122"/>
      <c r="J230" s="89"/>
      <c r="L230" t="str">
        <f t="shared" si="18"/>
        <v/>
      </c>
      <c r="M230" t="str">
        <f t="shared" si="19"/>
        <v/>
      </c>
    </row>
    <row r="231" spans="1:13">
      <c r="A231" s="81" t="str">
        <f>IF(E231="","",VLOOKUP('OPĆI DIO'!$C$3,'OPĆI DIO'!$L$6:$U$138,10,FALSE))</f>
        <v/>
      </c>
      <c r="B231" s="81" t="str">
        <f>IF(E231="","",VLOOKUP('OPĆI DIO'!$C$3,'OPĆI DIO'!$L$6:$U$138,9,FALSE))</f>
        <v/>
      </c>
      <c r="C231" s="124" t="str">
        <f t="shared" si="15"/>
        <v/>
      </c>
      <c r="D231" s="80" t="str">
        <f t="shared" si="16"/>
        <v/>
      </c>
      <c r="E231" s="89"/>
      <c r="F231" s="128" t="str">
        <f t="shared" si="17"/>
        <v/>
      </c>
      <c r="G231" s="122"/>
      <c r="H231" s="122"/>
      <c r="I231" s="122"/>
      <c r="J231" s="89"/>
      <c r="L231" t="str">
        <f t="shared" si="18"/>
        <v/>
      </c>
      <c r="M231" t="str">
        <f t="shared" si="19"/>
        <v/>
      </c>
    </row>
    <row r="232" spans="1:13">
      <c r="A232" s="81" t="str">
        <f>IF(E232="","",VLOOKUP('OPĆI DIO'!$C$3,'OPĆI DIO'!$L$6:$U$138,10,FALSE))</f>
        <v/>
      </c>
      <c r="B232" s="81" t="str">
        <f>IF(E232="","",VLOOKUP('OPĆI DIO'!$C$3,'OPĆI DIO'!$L$6:$U$138,9,FALSE))</f>
        <v/>
      </c>
      <c r="C232" s="124" t="str">
        <f t="shared" si="15"/>
        <v/>
      </c>
      <c r="D232" s="80" t="str">
        <f t="shared" si="16"/>
        <v/>
      </c>
      <c r="E232" s="89"/>
      <c r="F232" s="128" t="str">
        <f t="shared" si="17"/>
        <v/>
      </c>
      <c r="G232" s="122"/>
      <c r="H232" s="122"/>
      <c r="I232" s="122"/>
      <c r="J232" s="89"/>
      <c r="L232" t="str">
        <f t="shared" si="18"/>
        <v/>
      </c>
      <c r="M232" t="str">
        <f t="shared" si="19"/>
        <v/>
      </c>
    </row>
    <row r="233" spans="1:13">
      <c r="A233" s="81" t="str">
        <f>IF(E233="","",VLOOKUP('OPĆI DIO'!$C$3,'OPĆI DIO'!$L$6:$U$138,10,FALSE))</f>
        <v/>
      </c>
      <c r="B233" s="81" t="str">
        <f>IF(E233="","",VLOOKUP('OPĆI DIO'!$C$3,'OPĆI DIO'!$L$6:$U$138,9,FALSE))</f>
        <v/>
      </c>
      <c r="C233" s="124" t="str">
        <f t="shared" si="15"/>
        <v/>
      </c>
      <c r="D233" s="80" t="str">
        <f t="shared" si="16"/>
        <v/>
      </c>
      <c r="E233" s="89"/>
      <c r="F233" s="128" t="str">
        <f t="shared" si="17"/>
        <v/>
      </c>
      <c r="G233" s="122"/>
      <c r="H233" s="122"/>
      <c r="I233" s="122"/>
      <c r="J233" s="89"/>
      <c r="L233" t="str">
        <f t="shared" si="18"/>
        <v/>
      </c>
      <c r="M233" t="str">
        <f t="shared" si="19"/>
        <v/>
      </c>
    </row>
    <row r="234" spans="1:13">
      <c r="A234" s="81" t="str">
        <f>IF(E234="","",VLOOKUP('OPĆI DIO'!$C$3,'OPĆI DIO'!$L$6:$U$138,10,FALSE))</f>
        <v/>
      </c>
      <c r="B234" s="81" t="str">
        <f>IF(E234="","",VLOOKUP('OPĆI DIO'!$C$3,'OPĆI DIO'!$L$6:$U$138,9,FALSE))</f>
        <v/>
      </c>
      <c r="C234" s="124" t="str">
        <f t="shared" si="15"/>
        <v/>
      </c>
      <c r="D234" s="80" t="str">
        <f t="shared" si="16"/>
        <v/>
      </c>
      <c r="E234" s="89"/>
      <c r="F234" s="128" t="str">
        <f t="shared" si="17"/>
        <v/>
      </c>
      <c r="G234" s="122"/>
      <c r="H234" s="122"/>
      <c r="I234" s="122"/>
      <c r="J234" s="89"/>
      <c r="L234" t="str">
        <f t="shared" si="18"/>
        <v/>
      </c>
      <c r="M234" t="str">
        <f t="shared" si="19"/>
        <v/>
      </c>
    </row>
    <row r="235" spans="1:13">
      <c r="A235" s="81" t="str">
        <f>IF(E235="","",VLOOKUP('OPĆI DIO'!$C$3,'OPĆI DIO'!$L$6:$U$138,10,FALSE))</f>
        <v/>
      </c>
      <c r="B235" s="81" t="str">
        <f>IF(E235="","",VLOOKUP('OPĆI DIO'!$C$3,'OPĆI DIO'!$L$6:$U$138,9,FALSE))</f>
        <v/>
      </c>
      <c r="C235" s="124" t="str">
        <f t="shared" si="15"/>
        <v/>
      </c>
      <c r="D235" s="80" t="str">
        <f t="shared" si="16"/>
        <v/>
      </c>
      <c r="E235" s="89"/>
      <c r="F235" s="128" t="str">
        <f t="shared" si="17"/>
        <v/>
      </c>
      <c r="G235" s="122"/>
      <c r="H235" s="122"/>
      <c r="I235" s="122"/>
      <c r="J235" s="89"/>
      <c r="L235" t="str">
        <f t="shared" si="18"/>
        <v/>
      </c>
      <c r="M235" t="str">
        <f t="shared" si="19"/>
        <v/>
      </c>
    </row>
    <row r="236" spans="1:13">
      <c r="A236" s="81" t="str">
        <f>IF(E236="","",VLOOKUP('OPĆI DIO'!$C$3,'OPĆI DIO'!$L$6:$U$138,10,FALSE))</f>
        <v/>
      </c>
      <c r="B236" s="81" t="str">
        <f>IF(E236="","",VLOOKUP('OPĆI DIO'!$C$3,'OPĆI DIO'!$L$6:$U$138,9,FALSE))</f>
        <v/>
      </c>
      <c r="C236" s="124" t="str">
        <f t="shared" si="15"/>
        <v/>
      </c>
      <c r="D236" s="80" t="str">
        <f t="shared" si="16"/>
        <v/>
      </c>
      <c r="E236" s="89"/>
      <c r="F236" s="128" t="str">
        <f t="shared" si="17"/>
        <v/>
      </c>
      <c r="G236" s="122"/>
      <c r="H236" s="122"/>
      <c r="I236" s="122"/>
      <c r="J236" s="89"/>
      <c r="L236" t="str">
        <f t="shared" si="18"/>
        <v/>
      </c>
      <c r="M236" t="str">
        <f t="shared" si="19"/>
        <v/>
      </c>
    </row>
    <row r="237" spans="1:13">
      <c r="A237" s="81" t="str">
        <f>IF(E237="","",VLOOKUP('OPĆI DIO'!$C$3,'OPĆI DIO'!$L$6:$U$138,10,FALSE))</f>
        <v/>
      </c>
      <c r="B237" s="81" t="str">
        <f>IF(E237="","",VLOOKUP('OPĆI DIO'!$C$3,'OPĆI DIO'!$L$6:$U$138,9,FALSE))</f>
        <v/>
      </c>
      <c r="C237" s="124" t="str">
        <f t="shared" si="15"/>
        <v/>
      </c>
      <c r="D237" s="80" t="str">
        <f t="shared" si="16"/>
        <v/>
      </c>
      <c r="E237" s="89"/>
      <c r="F237" s="128" t="str">
        <f t="shared" si="17"/>
        <v/>
      </c>
      <c r="G237" s="122"/>
      <c r="H237" s="122"/>
      <c r="I237" s="122"/>
      <c r="J237" s="89"/>
      <c r="L237" t="str">
        <f t="shared" si="18"/>
        <v/>
      </c>
      <c r="M237" t="str">
        <f t="shared" si="19"/>
        <v/>
      </c>
    </row>
    <row r="238" spans="1:13">
      <c r="A238" s="81" t="str">
        <f>IF(E238="","",VLOOKUP('OPĆI DIO'!$C$3,'OPĆI DIO'!$L$6:$U$138,10,FALSE))</f>
        <v/>
      </c>
      <c r="B238" s="81" t="str">
        <f>IF(E238="","",VLOOKUP('OPĆI DIO'!$C$3,'OPĆI DIO'!$L$6:$U$138,9,FALSE))</f>
        <v/>
      </c>
      <c r="C238" s="124" t="str">
        <f t="shared" si="15"/>
        <v/>
      </c>
      <c r="D238" s="80" t="str">
        <f t="shared" si="16"/>
        <v/>
      </c>
      <c r="E238" s="89"/>
      <c r="F238" s="128" t="str">
        <f t="shared" si="17"/>
        <v/>
      </c>
      <c r="G238" s="122"/>
      <c r="H238" s="122"/>
      <c r="I238" s="122"/>
      <c r="J238" s="89"/>
      <c r="L238" t="str">
        <f t="shared" si="18"/>
        <v/>
      </c>
      <c r="M238" t="str">
        <f t="shared" si="19"/>
        <v/>
      </c>
    </row>
    <row r="239" spans="1:13">
      <c r="A239" s="81" t="str">
        <f>IF(E239="","",VLOOKUP('OPĆI DIO'!$C$3,'OPĆI DIO'!$L$6:$U$138,10,FALSE))</f>
        <v/>
      </c>
      <c r="B239" s="81" t="str">
        <f>IF(E239="","",VLOOKUP('OPĆI DIO'!$C$3,'OPĆI DIO'!$L$6:$U$138,9,FALSE))</f>
        <v/>
      </c>
      <c r="C239" s="124" t="str">
        <f t="shared" si="15"/>
        <v/>
      </c>
      <c r="D239" s="80" t="str">
        <f t="shared" si="16"/>
        <v/>
      </c>
      <c r="E239" s="89"/>
      <c r="F239" s="128" t="str">
        <f t="shared" si="17"/>
        <v/>
      </c>
      <c r="G239" s="122"/>
      <c r="H239" s="122"/>
      <c r="I239" s="122"/>
      <c r="J239" s="89"/>
      <c r="L239" t="str">
        <f t="shared" si="18"/>
        <v/>
      </c>
      <c r="M239" t="str">
        <f t="shared" si="19"/>
        <v/>
      </c>
    </row>
    <row r="240" spans="1:13">
      <c r="A240" s="81" t="str">
        <f>IF(E240="","",VLOOKUP('OPĆI DIO'!$C$3,'OPĆI DIO'!$L$6:$U$138,10,FALSE))</f>
        <v/>
      </c>
      <c r="B240" s="81" t="str">
        <f>IF(E240="","",VLOOKUP('OPĆI DIO'!$C$3,'OPĆI DIO'!$L$6:$U$138,9,FALSE))</f>
        <v/>
      </c>
      <c r="C240" s="124" t="str">
        <f t="shared" si="15"/>
        <v/>
      </c>
      <c r="D240" s="80" t="str">
        <f t="shared" si="16"/>
        <v/>
      </c>
      <c r="E240" s="89"/>
      <c r="F240" s="128" t="str">
        <f t="shared" si="17"/>
        <v/>
      </c>
      <c r="G240" s="122"/>
      <c r="H240" s="122"/>
      <c r="I240" s="122"/>
      <c r="J240" s="89"/>
      <c r="L240" t="str">
        <f t="shared" si="18"/>
        <v/>
      </c>
      <c r="M240" t="str">
        <f t="shared" si="19"/>
        <v/>
      </c>
    </row>
    <row r="241" spans="1:13">
      <c r="A241" s="81" t="str">
        <f>IF(E241="","",VLOOKUP('OPĆI DIO'!$C$3,'OPĆI DIO'!$L$6:$U$138,10,FALSE))</f>
        <v/>
      </c>
      <c r="B241" s="81" t="str">
        <f>IF(E241="","",VLOOKUP('OPĆI DIO'!$C$3,'OPĆI DIO'!$L$6:$U$138,9,FALSE))</f>
        <v/>
      </c>
      <c r="C241" s="124" t="str">
        <f t="shared" si="15"/>
        <v/>
      </c>
      <c r="D241" s="80" t="str">
        <f t="shared" si="16"/>
        <v/>
      </c>
      <c r="E241" s="89"/>
      <c r="F241" s="128" t="str">
        <f t="shared" si="17"/>
        <v/>
      </c>
      <c r="G241" s="122"/>
      <c r="H241" s="122"/>
      <c r="I241" s="122"/>
      <c r="J241" s="89"/>
      <c r="L241" t="str">
        <f t="shared" si="18"/>
        <v/>
      </c>
      <c r="M241" t="str">
        <f t="shared" si="19"/>
        <v/>
      </c>
    </row>
    <row r="242" spans="1:13">
      <c r="A242" s="81" t="str">
        <f>IF(E242="","",VLOOKUP('OPĆI DIO'!$C$3,'OPĆI DIO'!$L$6:$U$138,10,FALSE))</f>
        <v/>
      </c>
      <c r="B242" s="81" t="str">
        <f>IF(E242="","",VLOOKUP('OPĆI DIO'!$C$3,'OPĆI DIO'!$L$6:$U$138,9,FALSE))</f>
        <v/>
      </c>
      <c r="C242" s="124" t="str">
        <f t="shared" si="15"/>
        <v/>
      </c>
      <c r="D242" s="80" t="str">
        <f t="shared" si="16"/>
        <v/>
      </c>
      <c r="E242" s="89"/>
      <c r="F242" s="128" t="str">
        <f t="shared" si="17"/>
        <v/>
      </c>
      <c r="G242" s="122"/>
      <c r="H242" s="122"/>
      <c r="I242" s="122"/>
      <c r="J242" s="89"/>
      <c r="L242" t="str">
        <f t="shared" si="18"/>
        <v/>
      </c>
      <c r="M242" t="str">
        <f t="shared" si="19"/>
        <v/>
      </c>
    </row>
    <row r="243" spans="1:13">
      <c r="A243" s="81" t="str">
        <f>IF(E243="","",VLOOKUP('OPĆI DIO'!$C$3,'OPĆI DIO'!$L$6:$U$138,10,FALSE))</f>
        <v/>
      </c>
      <c r="B243" s="81" t="str">
        <f>IF(E243="","",VLOOKUP('OPĆI DIO'!$C$3,'OPĆI DIO'!$L$6:$U$138,9,FALSE))</f>
        <v/>
      </c>
      <c r="C243" s="124" t="str">
        <f t="shared" si="15"/>
        <v/>
      </c>
      <c r="D243" s="80" t="str">
        <f t="shared" si="16"/>
        <v/>
      </c>
      <c r="E243" s="89"/>
      <c r="F243" s="128" t="str">
        <f t="shared" si="17"/>
        <v/>
      </c>
      <c r="G243" s="122"/>
      <c r="H243" s="122"/>
      <c r="I243" s="122"/>
      <c r="J243" s="89"/>
      <c r="L243" t="str">
        <f t="shared" si="18"/>
        <v/>
      </c>
      <c r="M243" t="str">
        <f t="shared" si="19"/>
        <v/>
      </c>
    </row>
    <row r="244" spans="1:13">
      <c r="A244" s="81" t="str">
        <f>IF(E244="","",VLOOKUP('OPĆI DIO'!$C$3,'OPĆI DIO'!$L$6:$U$138,10,FALSE))</f>
        <v/>
      </c>
      <c r="B244" s="81" t="str">
        <f>IF(E244="","",VLOOKUP('OPĆI DIO'!$C$3,'OPĆI DIO'!$L$6:$U$138,9,FALSE))</f>
        <v/>
      </c>
      <c r="C244" s="124" t="str">
        <f t="shared" si="15"/>
        <v/>
      </c>
      <c r="D244" s="80" t="str">
        <f t="shared" si="16"/>
        <v/>
      </c>
      <c r="E244" s="89"/>
      <c r="F244" s="128" t="str">
        <f t="shared" si="17"/>
        <v/>
      </c>
      <c r="G244" s="122"/>
      <c r="H244" s="122"/>
      <c r="I244" s="122"/>
      <c r="J244" s="89"/>
      <c r="L244" t="str">
        <f t="shared" si="18"/>
        <v/>
      </c>
      <c r="M244" t="str">
        <f t="shared" si="19"/>
        <v/>
      </c>
    </row>
    <row r="245" spans="1:13">
      <c r="A245" s="81" t="str">
        <f>IF(E245="","",VLOOKUP('OPĆI DIO'!$C$3,'OPĆI DIO'!$L$6:$U$138,10,FALSE))</f>
        <v/>
      </c>
      <c r="B245" s="81" t="str">
        <f>IF(E245="","",VLOOKUP('OPĆI DIO'!$C$3,'OPĆI DIO'!$L$6:$U$138,9,FALSE))</f>
        <v/>
      </c>
      <c r="C245" s="124" t="str">
        <f t="shared" si="15"/>
        <v/>
      </c>
      <c r="D245" s="80" t="str">
        <f t="shared" si="16"/>
        <v/>
      </c>
      <c r="E245" s="89"/>
      <c r="F245" s="128" t="str">
        <f t="shared" si="17"/>
        <v/>
      </c>
      <c r="G245" s="122"/>
      <c r="H245" s="122"/>
      <c r="I245" s="122"/>
      <c r="J245" s="89"/>
      <c r="L245" t="str">
        <f t="shared" si="18"/>
        <v/>
      </c>
      <c r="M245" t="str">
        <f t="shared" si="19"/>
        <v/>
      </c>
    </row>
    <row r="246" spans="1:13">
      <c r="A246" s="81" t="str">
        <f>IF(E246="","",VLOOKUP('OPĆI DIO'!$C$3,'OPĆI DIO'!$L$6:$U$138,10,FALSE))</f>
        <v/>
      </c>
      <c r="B246" s="81" t="str">
        <f>IF(E246="","",VLOOKUP('OPĆI DIO'!$C$3,'OPĆI DIO'!$L$6:$U$138,9,FALSE))</f>
        <v/>
      </c>
      <c r="C246" s="124" t="str">
        <f t="shared" si="15"/>
        <v/>
      </c>
      <c r="D246" s="80" t="str">
        <f t="shared" si="16"/>
        <v/>
      </c>
      <c r="E246" s="89"/>
      <c r="F246" s="128" t="str">
        <f t="shared" si="17"/>
        <v/>
      </c>
      <c r="G246" s="122"/>
      <c r="H246" s="122"/>
      <c r="I246" s="122"/>
      <c r="J246" s="89"/>
      <c r="L246" t="str">
        <f t="shared" si="18"/>
        <v/>
      </c>
      <c r="M246" t="str">
        <f t="shared" si="19"/>
        <v/>
      </c>
    </row>
    <row r="247" spans="1:13">
      <c r="A247" s="81" t="str">
        <f>IF(E247="","",VLOOKUP('OPĆI DIO'!$C$3,'OPĆI DIO'!$L$6:$U$138,10,FALSE))</f>
        <v/>
      </c>
      <c r="B247" s="81" t="str">
        <f>IF(E247="","",VLOOKUP('OPĆI DIO'!$C$3,'OPĆI DIO'!$L$6:$U$138,9,FALSE))</f>
        <v/>
      </c>
      <c r="C247" s="124" t="str">
        <f t="shared" si="15"/>
        <v/>
      </c>
      <c r="D247" s="80" t="str">
        <f t="shared" si="16"/>
        <v/>
      </c>
      <c r="E247" s="89"/>
      <c r="F247" s="128" t="str">
        <f t="shared" si="17"/>
        <v/>
      </c>
      <c r="G247" s="122"/>
      <c r="H247" s="122"/>
      <c r="I247" s="122"/>
      <c r="J247" s="89"/>
      <c r="L247" t="str">
        <f t="shared" si="18"/>
        <v/>
      </c>
      <c r="M247" t="str">
        <f t="shared" si="19"/>
        <v/>
      </c>
    </row>
    <row r="248" spans="1:13">
      <c r="A248" s="81" t="str">
        <f>IF(E248="","",VLOOKUP('OPĆI DIO'!$C$3,'OPĆI DIO'!$L$6:$U$138,10,FALSE))</f>
        <v/>
      </c>
      <c r="B248" s="81" t="str">
        <f>IF(E248="","",VLOOKUP('OPĆI DIO'!$C$3,'OPĆI DIO'!$L$6:$U$138,9,FALSE))</f>
        <v/>
      </c>
      <c r="C248" s="124" t="str">
        <f t="shared" si="15"/>
        <v/>
      </c>
      <c r="D248" s="80" t="str">
        <f t="shared" si="16"/>
        <v/>
      </c>
      <c r="E248" s="89"/>
      <c r="F248" s="128" t="str">
        <f t="shared" si="17"/>
        <v/>
      </c>
      <c r="G248" s="122"/>
      <c r="H248" s="122"/>
      <c r="I248" s="122"/>
      <c r="J248" s="89"/>
      <c r="L248" t="str">
        <f t="shared" si="18"/>
        <v/>
      </c>
      <c r="M248" t="str">
        <f t="shared" si="19"/>
        <v/>
      </c>
    </row>
    <row r="249" spans="1:13">
      <c r="A249" s="81" t="str">
        <f>IF(E249="","",VLOOKUP('OPĆI DIO'!$C$3,'OPĆI DIO'!$L$6:$U$138,10,FALSE))</f>
        <v/>
      </c>
      <c r="B249" s="81" t="str">
        <f>IF(E249="","",VLOOKUP('OPĆI DIO'!$C$3,'OPĆI DIO'!$L$6:$U$138,9,FALSE))</f>
        <v/>
      </c>
      <c r="C249" s="124" t="str">
        <f t="shared" si="15"/>
        <v/>
      </c>
      <c r="D249" s="80" t="str">
        <f t="shared" si="16"/>
        <v/>
      </c>
      <c r="E249" s="89"/>
      <c r="F249" s="128" t="str">
        <f t="shared" si="17"/>
        <v/>
      </c>
      <c r="G249" s="122"/>
      <c r="H249" s="122"/>
      <c r="I249" s="122"/>
      <c r="J249" s="89"/>
      <c r="L249" t="str">
        <f t="shared" si="18"/>
        <v/>
      </c>
      <c r="M249" t="str">
        <f t="shared" si="19"/>
        <v/>
      </c>
    </row>
    <row r="250" spans="1:13">
      <c r="A250" s="81" t="str">
        <f>IF(E250="","",VLOOKUP('OPĆI DIO'!$C$3,'OPĆI DIO'!$L$6:$U$138,10,FALSE))</f>
        <v/>
      </c>
      <c r="B250" s="81" t="str">
        <f>IF(E250="","",VLOOKUP('OPĆI DIO'!$C$3,'OPĆI DIO'!$L$6:$U$138,9,FALSE))</f>
        <v/>
      </c>
      <c r="C250" s="124" t="str">
        <f t="shared" si="15"/>
        <v/>
      </c>
      <c r="D250" s="80" t="str">
        <f t="shared" si="16"/>
        <v/>
      </c>
      <c r="E250" s="89"/>
      <c r="F250" s="128" t="str">
        <f t="shared" si="17"/>
        <v/>
      </c>
      <c r="G250" s="122"/>
      <c r="H250" s="122"/>
      <c r="I250" s="122"/>
      <c r="J250" s="89"/>
      <c r="L250" t="str">
        <f t="shared" si="18"/>
        <v/>
      </c>
      <c r="M250" t="str">
        <f t="shared" si="19"/>
        <v/>
      </c>
    </row>
    <row r="251" spans="1:13">
      <c r="A251" s="81" t="str">
        <f>IF(E251="","",VLOOKUP('OPĆI DIO'!$C$3,'OPĆI DIO'!$L$6:$U$138,10,FALSE))</f>
        <v/>
      </c>
      <c r="B251" s="81" t="str">
        <f>IF(E251="","",VLOOKUP('OPĆI DIO'!$C$3,'OPĆI DIO'!$L$6:$U$138,9,FALSE))</f>
        <v/>
      </c>
      <c r="C251" s="124" t="str">
        <f t="shared" si="15"/>
        <v/>
      </c>
      <c r="D251" s="80" t="str">
        <f t="shared" si="16"/>
        <v/>
      </c>
      <c r="E251" s="89"/>
      <c r="F251" s="128" t="str">
        <f t="shared" si="17"/>
        <v/>
      </c>
      <c r="G251" s="122"/>
      <c r="H251" s="122"/>
      <c r="I251" s="122"/>
      <c r="J251" s="89"/>
      <c r="L251" t="str">
        <f t="shared" si="18"/>
        <v/>
      </c>
      <c r="M251" t="str">
        <f t="shared" si="19"/>
        <v/>
      </c>
    </row>
    <row r="252" spans="1:13">
      <c r="A252" s="81" t="str">
        <f>IF(E252="","",VLOOKUP('OPĆI DIO'!$C$3,'OPĆI DIO'!$L$6:$U$138,10,FALSE))</f>
        <v/>
      </c>
      <c r="B252" s="81" t="str">
        <f>IF(E252="","",VLOOKUP('OPĆI DIO'!$C$3,'OPĆI DIO'!$L$6:$U$138,9,FALSE))</f>
        <v/>
      </c>
      <c r="C252" s="124" t="str">
        <f t="shared" si="15"/>
        <v/>
      </c>
      <c r="D252" s="80" t="str">
        <f t="shared" si="16"/>
        <v/>
      </c>
      <c r="E252" s="89"/>
      <c r="F252" s="128" t="str">
        <f t="shared" si="17"/>
        <v/>
      </c>
      <c r="G252" s="122"/>
      <c r="H252" s="122"/>
      <c r="I252" s="122"/>
      <c r="J252" s="89"/>
      <c r="L252" t="str">
        <f t="shared" si="18"/>
        <v/>
      </c>
      <c r="M252" t="str">
        <f t="shared" si="19"/>
        <v/>
      </c>
    </row>
    <row r="253" spans="1:13">
      <c r="A253" s="81" t="str">
        <f>IF(E253="","",VLOOKUP('OPĆI DIO'!$C$3,'OPĆI DIO'!$L$6:$U$138,10,FALSE))</f>
        <v/>
      </c>
      <c r="B253" s="81" t="str">
        <f>IF(E253="","",VLOOKUP('OPĆI DIO'!$C$3,'OPĆI DIO'!$L$6:$U$138,9,FALSE))</f>
        <v/>
      </c>
      <c r="C253" s="124" t="str">
        <f t="shared" si="15"/>
        <v/>
      </c>
      <c r="D253" s="80" t="str">
        <f t="shared" si="16"/>
        <v/>
      </c>
      <c r="E253" s="89"/>
      <c r="F253" s="128" t="str">
        <f t="shared" si="17"/>
        <v/>
      </c>
      <c r="G253" s="122"/>
      <c r="H253" s="122"/>
      <c r="I253" s="122"/>
      <c r="J253" s="89"/>
      <c r="L253" t="str">
        <f t="shared" si="18"/>
        <v/>
      </c>
      <c r="M253" t="str">
        <f t="shared" si="19"/>
        <v/>
      </c>
    </row>
    <row r="254" spans="1:13">
      <c r="A254" s="81" t="str">
        <f>IF(E254="","",VLOOKUP('OPĆI DIO'!$C$3,'OPĆI DIO'!$L$6:$U$138,10,FALSE))</f>
        <v/>
      </c>
      <c r="B254" s="81" t="str">
        <f>IF(E254="","",VLOOKUP('OPĆI DIO'!$C$3,'OPĆI DIO'!$L$6:$U$138,9,FALSE))</f>
        <v/>
      </c>
      <c r="C254" s="124" t="str">
        <f t="shared" si="15"/>
        <v/>
      </c>
      <c r="D254" s="80" t="str">
        <f t="shared" si="16"/>
        <v/>
      </c>
      <c r="E254" s="89"/>
      <c r="F254" s="128" t="str">
        <f t="shared" si="17"/>
        <v/>
      </c>
      <c r="G254" s="122"/>
      <c r="H254" s="122"/>
      <c r="I254" s="122"/>
      <c r="J254" s="89"/>
      <c r="L254" t="str">
        <f t="shared" si="18"/>
        <v/>
      </c>
      <c r="M254" t="str">
        <f t="shared" si="19"/>
        <v/>
      </c>
    </row>
    <row r="255" spans="1:13">
      <c r="A255" s="81" t="str">
        <f>IF(E255="","",VLOOKUP('OPĆI DIO'!$C$3,'OPĆI DIO'!$L$6:$U$138,10,FALSE))</f>
        <v/>
      </c>
      <c r="B255" s="81" t="str">
        <f>IF(E255="","",VLOOKUP('OPĆI DIO'!$C$3,'OPĆI DIO'!$L$6:$U$138,9,FALSE))</f>
        <v/>
      </c>
      <c r="C255" s="124" t="str">
        <f t="shared" si="15"/>
        <v/>
      </c>
      <c r="D255" s="80" t="str">
        <f t="shared" si="16"/>
        <v/>
      </c>
      <c r="E255" s="89"/>
      <c r="F255" s="128" t="str">
        <f t="shared" si="17"/>
        <v/>
      </c>
      <c r="G255" s="122"/>
      <c r="H255" s="122"/>
      <c r="I255" s="122"/>
      <c r="J255" s="89"/>
      <c r="L255" t="str">
        <f t="shared" si="18"/>
        <v/>
      </c>
      <c r="M255" t="str">
        <f t="shared" si="19"/>
        <v/>
      </c>
    </row>
    <row r="256" spans="1:13">
      <c r="A256" s="81" t="str">
        <f>IF(E256="","",VLOOKUP('OPĆI DIO'!$C$3,'OPĆI DIO'!$L$6:$U$138,10,FALSE))</f>
        <v/>
      </c>
      <c r="B256" s="81" t="str">
        <f>IF(E256="","",VLOOKUP('OPĆI DIO'!$C$3,'OPĆI DIO'!$L$6:$U$138,9,FALSE))</f>
        <v/>
      </c>
      <c r="C256" s="124" t="str">
        <f t="shared" si="15"/>
        <v/>
      </c>
      <c r="D256" s="80" t="str">
        <f t="shared" si="16"/>
        <v/>
      </c>
      <c r="E256" s="89"/>
      <c r="F256" s="128" t="str">
        <f t="shared" si="17"/>
        <v/>
      </c>
      <c r="G256" s="122"/>
      <c r="H256" s="122"/>
      <c r="I256" s="122"/>
      <c r="J256" s="89"/>
      <c r="L256" t="str">
        <f t="shared" si="18"/>
        <v/>
      </c>
      <c r="M256" t="str">
        <f t="shared" si="19"/>
        <v/>
      </c>
    </row>
    <row r="257" spans="1:13">
      <c r="A257" s="81" t="str">
        <f>IF(E257="","",VLOOKUP('OPĆI DIO'!$C$3,'OPĆI DIO'!$L$6:$U$138,10,FALSE))</f>
        <v/>
      </c>
      <c r="B257" s="81" t="str">
        <f>IF(E257="","",VLOOKUP('OPĆI DIO'!$C$3,'OPĆI DIO'!$L$6:$U$138,9,FALSE))</f>
        <v/>
      </c>
      <c r="C257" s="124" t="str">
        <f t="shared" si="15"/>
        <v/>
      </c>
      <c r="D257" s="80" t="str">
        <f t="shared" si="16"/>
        <v/>
      </c>
      <c r="E257" s="89"/>
      <c r="F257" s="128" t="str">
        <f t="shared" si="17"/>
        <v/>
      </c>
      <c r="G257" s="122"/>
      <c r="H257" s="122"/>
      <c r="I257" s="122"/>
      <c r="J257" s="89"/>
      <c r="L257" t="str">
        <f t="shared" si="18"/>
        <v/>
      </c>
      <c r="M257" t="str">
        <f t="shared" si="19"/>
        <v/>
      </c>
    </row>
    <row r="258" spans="1:13">
      <c r="A258" s="81" t="str">
        <f>IF(E258="","",VLOOKUP('OPĆI DIO'!$C$3,'OPĆI DIO'!$L$6:$U$138,10,FALSE))</f>
        <v/>
      </c>
      <c r="B258" s="81" t="str">
        <f>IF(E258="","",VLOOKUP('OPĆI DIO'!$C$3,'OPĆI DIO'!$L$6:$U$138,9,FALSE))</f>
        <v/>
      </c>
      <c r="C258" s="124" t="str">
        <f t="shared" si="15"/>
        <v/>
      </c>
      <c r="D258" s="80" t="str">
        <f t="shared" si="16"/>
        <v/>
      </c>
      <c r="E258" s="89"/>
      <c r="F258" s="128" t="str">
        <f t="shared" si="17"/>
        <v/>
      </c>
      <c r="G258" s="122"/>
      <c r="H258" s="122"/>
      <c r="I258" s="122"/>
      <c r="J258" s="89"/>
      <c r="L258" t="str">
        <f t="shared" si="18"/>
        <v/>
      </c>
      <c r="M258" t="str">
        <f t="shared" si="19"/>
        <v/>
      </c>
    </row>
    <row r="259" spans="1:13">
      <c r="A259" s="81" t="str">
        <f>IF(E259="","",VLOOKUP('OPĆI DIO'!$C$3,'OPĆI DIO'!$L$6:$U$138,10,FALSE))</f>
        <v/>
      </c>
      <c r="B259" s="81" t="str">
        <f>IF(E259="","",VLOOKUP('OPĆI DIO'!$C$3,'OPĆI DIO'!$L$6:$U$138,9,FALSE))</f>
        <v/>
      </c>
      <c r="C259" s="124" t="str">
        <f t="shared" ref="C259:C322" si="20">IFERROR(VLOOKUP(E259,$R$6:$U$108,3,FALSE),"")</f>
        <v/>
      </c>
      <c r="D259" s="80" t="str">
        <f t="shared" ref="D259:D322" si="21">IFERROR(VLOOKUP(E259,$R$6:$U$108,4,FALSE),"")</f>
        <v/>
      </c>
      <c r="E259" s="89"/>
      <c r="F259" s="128" t="str">
        <f t="shared" ref="F259:F322" si="22">IFERROR(VLOOKUP(E259,$R$6:$U$108,2,FALSE),"")</f>
        <v/>
      </c>
      <c r="G259" s="122"/>
      <c r="H259" s="122"/>
      <c r="I259" s="122"/>
      <c r="J259" s="89"/>
      <c r="L259" t="str">
        <f t="shared" si="18"/>
        <v/>
      </c>
      <c r="M259" t="str">
        <f t="shared" si="19"/>
        <v/>
      </c>
    </row>
    <row r="260" spans="1:13">
      <c r="A260" s="81" t="str">
        <f>IF(E260="","",VLOOKUP('OPĆI DIO'!$C$3,'OPĆI DIO'!$L$6:$U$138,10,FALSE))</f>
        <v/>
      </c>
      <c r="B260" s="81" t="str">
        <f>IF(E260="","",VLOOKUP('OPĆI DIO'!$C$3,'OPĆI DIO'!$L$6:$U$138,9,FALSE))</f>
        <v/>
      </c>
      <c r="C260" s="124" t="str">
        <f t="shared" si="20"/>
        <v/>
      </c>
      <c r="D260" s="80" t="str">
        <f t="shared" si="21"/>
        <v/>
      </c>
      <c r="E260" s="89"/>
      <c r="F260" s="128" t="str">
        <f t="shared" si="22"/>
        <v/>
      </c>
      <c r="G260" s="122"/>
      <c r="H260" s="122"/>
      <c r="I260" s="122"/>
      <c r="J260" s="89"/>
      <c r="L260" t="str">
        <f t="shared" ref="L260:L323" si="23">LEFT(E260,2)</f>
        <v/>
      </c>
      <c r="M260" t="str">
        <f t="shared" ref="M260:M323" si="24">LEFT(E260,3)</f>
        <v/>
      </c>
    </row>
    <row r="261" spans="1:13">
      <c r="A261" s="81" t="str">
        <f>IF(E261="","",VLOOKUP('OPĆI DIO'!$C$3,'OPĆI DIO'!$L$6:$U$138,10,FALSE))</f>
        <v/>
      </c>
      <c r="B261" s="81" t="str">
        <f>IF(E261="","",VLOOKUP('OPĆI DIO'!$C$3,'OPĆI DIO'!$L$6:$U$138,9,FALSE))</f>
        <v/>
      </c>
      <c r="C261" s="124" t="str">
        <f t="shared" si="20"/>
        <v/>
      </c>
      <c r="D261" s="80" t="str">
        <f t="shared" si="21"/>
        <v/>
      </c>
      <c r="E261" s="89"/>
      <c r="F261" s="128" t="str">
        <f t="shared" si="22"/>
        <v/>
      </c>
      <c r="G261" s="122"/>
      <c r="H261" s="122"/>
      <c r="I261" s="122"/>
      <c r="J261" s="89"/>
      <c r="L261" t="str">
        <f t="shared" si="23"/>
        <v/>
      </c>
      <c r="M261" t="str">
        <f t="shared" si="24"/>
        <v/>
      </c>
    </row>
    <row r="262" spans="1:13">
      <c r="A262" s="81" t="str">
        <f>IF(E262="","",VLOOKUP('OPĆI DIO'!$C$3,'OPĆI DIO'!$L$6:$U$138,10,FALSE))</f>
        <v/>
      </c>
      <c r="B262" s="81" t="str">
        <f>IF(E262="","",VLOOKUP('OPĆI DIO'!$C$3,'OPĆI DIO'!$L$6:$U$138,9,FALSE))</f>
        <v/>
      </c>
      <c r="C262" s="124" t="str">
        <f t="shared" si="20"/>
        <v/>
      </c>
      <c r="D262" s="80" t="str">
        <f t="shared" si="21"/>
        <v/>
      </c>
      <c r="E262" s="89"/>
      <c r="F262" s="128" t="str">
        <f t="shared" si="22"/>
        <v/>
      </c>
      <c r="G262" s="122"/>
      <c r="H262" s="122"/>
      <c r="I262" s="122"/>
      <c r="J262" s="89"/>
      <c r="L262" t="str">
        <f t="shared" si="23"/>
        <v/>
      </c>
      <c r="M262" t="str">
        <f t="shared" si="24"/>
        <v/>
      </c>
    </row>
    <row r="263" spans="1:13">
      <c r="A263" s="81" t="str">
        <f>IF(E263="","",VLOOKUP('OPĆI DIO'!$C$3,'OPĆI DIO'!$L$6:$U$138,10,FALSE))</f>
        <v/>
      </c>
      <c r="B263" s="81" t="str">
        <f>IF(E263="","",VLOOKUP('OPĆI DIO'!$C$3,'OPĆI DIO'!$L$6:$U$138,9,FALSE))</f>
        <v/>
      </c>
      <c r="C263" s="124" t="str">
        <f t="shared" si="20"/>
        <v/>
      </c>
      <c r="D263" s="80" t="str">
        <f t="shared" si="21"/>
        <v/>
      </c>
      <c r="E263" s="89"/>
      <c r="F263" s="128" t="str">
        <f t="shared" si="22"/>
        <v/>
      </c>
      <c r="G263" s="122"/>
      <c r="H263" s="122"/>
      <c r="I263" s="122"/>
      <c r="J263" s="89"/>
      <c r="L263" t="str">
        <f t="shared" si="23"/>
        <v/>
      </c>
      <c r="M263" t="str">
        <f t="shared" si="24"/>
        <v/>
      </c>
    </row>
    <row r="264" spans="1:13">
      <c r="A264" s="81" t="str">
        <f>IF(E264="","",VLOOKUP('OPĆI DIO'!$C$3,'OPĆI DIO'!$L$6:$U$138,10,FALSE))</f>
        <v/>
      </c>
      <c r="B264" s="81" t="str">
        <f>IF(E264="","",VLOOKUP('OPĆI DIO'!$C$3,'OPĆI DIO'!$L$6:$U$138,9,FALSE))</f>
        <v/>
      </c>
      <c r="C264" s="124" t="str">
        <f t="shared" si="20"/>
        <v/>
      </c>
      <c r="D264" s="80" t="str">
        <f t="shared" si="21"/>
        <v/>
      </c>
      <c r="E264" s="89"/>
      <c r="F264" s="128" t="str">
        <f t="shared" si="22"/>
        <v/>
      </c>
      <c r="G264" s="122"/>
      <c r="H264" s="122"/>
      <c r="I264" s="122"/>
      <c r="J264" s="89"/>
      <c r="L264" t="str">
        <f t="shared" si="23"/>
        <v/>
      </c>
      <c r="M264" t="str">
        <f t="shared" si="24"/>
        <v/>
      </c>
    </row>
    <row r="265" spans="1:13">
      <c r="A265" s="81" t="str">
        <f>IF(E265="","",VLOOKUP('OPĆI DIO'!$C$3,'OPĆI DIO'!$L$6:$U$138,10,FALSE))</f>
        <v/>
      </c>
      <c r="B265" s="81" t="str">
        <f>IF(E265="","",VLOOKUP('OPĆI DIO'!$C$3,'OPĆI DIO'!$L$6:$U$138,9,FALSE))</f>
        <v/>
      </c>
      <c r="C265" s="124" t="str">
        <f t="shared" si="20"/>
        <v/>
      </c>
      <c r="D265" s="80" t="str">
        <f t="shared" si="21"/>
        <v/>
      </c>
      <c r="E265" s="89"/>
      <c r="F265" s="128" t="str">
        <f t="shared" si="22"/>
        <v/>
      </c>
      <c r="G265" s="122"/>
      <c r="H265" s="122"/>
      <c r="I265" s="122"/>
      <c r="J265" s="89"/>
      <c r="L265" t="str">
        <f t="shared" si="23"/>
        <v/>
      </c>
      <c r="M265" t="str">
        <f t="shared" si="24"/>
        <v/>
      </c>
    </row>
    <row r="266" spans="1:13">
      <c r="A266" s="81" t="str">
        <f>IF(E266="","",VLOOKUP('OPĆI DIO'!$C$3,'OPĆI DIO'!$L$6:$U$138,10,FALSE))</f>
        <v/>
      </c>
      <c r="B266" s="81" t="str">
        <f>IF(E266="","",VLOOKUP('OPĆI DIO'!$C$3,'OPĆI DIO'!$L$6:$U$138,9,FALSE))</f>
        <v/>
      </c>
      <c r="C266" s="124" t="str">
        <f t="shared" si="20"/>
        <v/>
      </c>
      <c r="D266" s="80" t="str">
        <f t="shared" si="21"/>
        <v/>
      </c>
      <c r="E266" s="89"/>
      <c r="F266" s="128" t="str">
        <f t="shared" si="22"/>
        <v/>
      </c>
      <c r="G266" s="122"/>
      <c r="H266" s="122"/>
      <c r="I266" s="122"/>
      <c r="J266" s="89"/>
      <c r="L266" t="str">
        <f t="shared" si="23"/>
        <v/>
      </c>
      <c r="M266" t="str">
        <f t="shared" si="24"/>
        <v/>
      </c>
    </row>
    <row r="267" spans="1:13">
      <c r="A267" s="81" t="str">
        <f>IF(E267="","",VLOOKUP('OPĆI DIO'!$C$3,'OPĆI DIO'!$L$6:$U$138,10,FALSE))</f>
        <v/>
      </c>
      <c r="B267" s="81" t="str">
        <f>IF(E267="","",VLOOKUP('OPĆI DIO'!$C$3,'OPĆI DIO'!$L$6:$U$138,9,FALSE))</f>
        <v/>
      </c>
      <c r="C267" s="124" t="str">
        <f t="shared" si="20"/>
        <v/>
      </c>
      <c r="D267" s="80" t="str">
        <f t="shared" si="21"/>
        <v/>
      </c>
      <c r="E267" s="89"/>
      <c r="F267" s="128" t="str">
        <f t="shared" si="22"/>
        <v/>
      </c>
      <c r="G267" s="122"/>
      <c r="H267" s="122"/>
      <c r="I267" s="122"/>
      <c r="J267" s="89"/>
      <c r="L267" t="str">
        <f t="shared" si="23"/>
        <v/>
      </c>
      <c r="M267" t="str">
        <f t="shared" si="24"/>
        <v/>
      </c>
    </row>
    <row r="268" spans="1:13">
      <c r="A268" s="81" t="str">
        <f>IF(E268="","",VLOOKUP('OPĆI DIO'!$C$3,'OPĆI DIO'!$L$6:$U$138,10,FALSE))</f>
        <v/>
      </c>
      <c r="B268" s="81" t="str">
        <f>IF(E268="","",VLOOKUP('OPĆI DIO'!$C$3,'OPĆI DIO'!$L$6:$U$138,9,FALSE))</f>
        <v/>
      </c>
      <c r="C268" s="124" t="str">
        <f t="shared" si="20"/>
        <v/>
      </c>
      <c r="D268" s="80" t="str">
        <f t="shared" si="21"/>
        <v/>
      </c>
      <c r="E268" s="89"/>
      <c r="F268" s="128" t="str">
        <f t="shared" si="22"/>
        <v/>
      </c>
      <c r="G268" s="122"/>
      <c r="H268" s="122"/>
      <c r="I268" s="122"/>
      <c r="J268" s="89"/>
      <c r="L268" t="str">
        <f t="shared" si="23"/>
        <v/>
      </c>
      <c r="M268" t="str">
        <f t="shared" si="24"/>
        <v/>
      </c>
    </row>
    <row r="269" spans="1:13">
      <c r="A269" s="81" t="str">
        <f>IF(E269="","",VLOOKUP('OPĆI DIO'!$C$3,'OPĆI DIO'!$L$6:$U$138,10,FALSE))</f>
        <v/>
      </c>
      <c r="B269" s="81" t="str">
        <f>IF(E269="","",VLOOKUP('OPĆI DIO'!$C$3,'OPĆI DIO'!$L$6:$U$138,9,FALSE))</f>
        <v/>
      </c>
      <c r="C269" s="124" t="str">
        <f t="shared" si="20"/>
        <v/>
      </c>
      <c r="D269" s="80" t="str">
        <f t="shared" si="21"/>
        <v/>
      </c>
      <c r="E269" s="89"/>
      <c r="F269" s="128" t="str">
        <f t="shared" si="22"/>
        <v/>
      </c>
      <c r="G269" s="122"/>
      <c r="H269" s="122"/>
      <c r="I269" s="122"/>
      <c r="J269" s="89"/>
      <c r="L269" t="str">
        <f t="shared" si="23"/>
        <v/>
      </c>
      <c r="M269" t="str">
        <f t="shared" si="24"/>
        <v/>
      </c>
    </row>
    <row r="270" spans="1:13">
      <c r="A270" s="81" t="str">
        <f>IF(E270="","",VLOOKUP('OPĆI DIO'!$C$3,'OPĆI DIO'!$L$6:$U$138,10,FALSE))</f>
        <v/>
      </c>
      <c r="B270" s="81" t="str">
        <f>IF(E270="","",VLOOKUP('OPĆI DIO'!$C$3,'OPĆI DIO'!$L$6:$U$138,9,FALSE))</f>
        <v/>
      </c>
      <c r="C270" s="124" t="str">
        <f t="shared" si="20"/>
        <v/>
      </c>
      <c r="D270" s="80" t="str">
        <f t="shared" si="21"/>
        <v/>
      </c>
      <c r="E270" s="89"/>
      <c r="F270" s="128" t="str">
        <f t="shared" si="22"/>
        <v/>
      </c>
      <c r="G270" s="122"/>
      <c r="H270" s="122"/>
      <c r="I270" s="122"/>
      <c r="J270" s="89"/>
      <c r="L270" t="str">
        <f t="shared" si="23"/>
        <v/>
      </c>
      <c r="M270" t="str">
        <f t="shared" si="24"/>
        <v/>
      </c>
    </row>
    <row r="271" spans="1:13">
      <c r="A271" s="81" t="str">
        <f>IF(E271="","",VLOOKUP('OPĆI DIO'!$C$3,'OPĆI DIO'!$L$6:$U$138,10,FALSE))</f>
        <v/>
      </c>
      <c r="B271" s="81" t="str">
        <f>IF(E271="","",VLOOKUP('OPĆI DIO'!$C$3,'OPĆI DIO'!$L$6:$U$138,9,FALSE))</f>
        <v/>
      </c>
      <c r="C271" s="124" t="str">
        <f t="shared" si="20"/>
        <v/>
      </c>
      <c r="D271" s="80" t="str">
        <f t="shared" si="21"/>
        <v/>
      </c>
      <c r="E271" s="89"/>
      <c r="F271" s="128" t="str">
        <f t="shared" si="22"/>
        <v/>
      </c>
      <c r="G271" s="122"/>
      <c r="H271" s="122"/>
      <c r="I271" s="122"/>
      <c r="J271" s="89"/>
      <c r="L271" t="str">
        <f t="shared" si="23"/>
        <v/>
      </c>
      <c r="M271" t="str">
        <f t="shared" si="24"/>
        <v/>
      </c>
    </row>
    <row r="272" spans="1:13">
      <c r="A272" s="81" t="str">
        <f>IF(E272="","",VLOOKUP('OPĆI DIO'!$C$3,'OPĆI DIO'!$L$6:$U$138,10,FALSE))</f>
        <v/>
      </c>
      <c r="B272" s="81" t="str">
        <f>IF(E272="","",VLOOKUP('OPĆI DIO'!$C$3,'OPĆI DIO'!$L$6:$U$138,9,FALSE))</f>
        <v/>
      </c>
      <c r="C272" s="124" t="str">
        <f t="shared" si="20"/>
        <v/>
      </c>
      <c r="D272" s="80" t="str">
        <f t="shared" si="21"/>
        <v/>
      </c>
      <c r="E272" s="89"/>
      <c r="F272" s="128" t="str">
        <f t="shared" si="22"/>
        <v/>
      </c>
      <c r="G272" s="122"/>
      <c r="H272" s="122"/>
      <c r="I272" s="122"/>
      <c r="J272" s="89"/>
      <c r="L272" t="str">
        <f t="shared" si="23"/>
        <v/>
      </c>
      <c r="M272" t="str">
        <f t="shared" si="24"/>
        <v/>
      </c>
    </row>
    <row r="273" spans="1:13">
      <c r="A273" s="81" t="str">
        <f>IF(E273="","",VLOOKUP('OPĆI DIO'!$C$3,'OPĆI DIO'!$L$6:$U$138,10,FALSE))</f>
        <v/>
      </c>
      <c r="B273" s="81" t="str">
        <f>IF(E273="","",VLOOKUP('OPĆI DIO'!$C$3,'OPĆI DIO'!$L$6:$U$138,9,FALSE))</f>
        <v/>
      </c>
      <c r="C273" s="124" t="str">
        <f t="shared" si="20"/>
        <v/>
      </c>
      <c r="D273" s="80" t="str">
        <f t="shared" si="21"/>
        <v/>
      </c>
      <c r="E273" s="89"/>
      <c r="F273" s="128" t="str">
        <f t="shared" si="22"/>
        <v/>
      </c>
      <c r="G273" s="122"/>
      <c r="H273" s="122"/>
      <c r="I273" s="122"/>
      <c r="J273" s="89"/>
      <c r="L273" t="str">
        <f t="shared" si="23"/>
        <v/>
      </c>
      <c r="M273" t="str">
        <f t="shared" si="24"/>
        <v/>
      </c>
    </row>
    <row r="274" spans="1:13">
      <c r="A274" s="81" t="str">
        <f>IF(E274="","",VLOOKUP('OPĆI DIO'!$C$3,'OPĆI DIO'!$L$6:$U$138,10,FALSE))</f>
        <v/>
      </c>
      <c r="B274" s="81" t="str">
        <f>IF(E274="","",VLOOKUP('OPĆI DIO'!$C$3,'OPĆI DIO'!$L$6:$U$138,9,FALSE))</f>
        <v/>
      </c>
      <c r="C274" s="124" t="str">
        <f t="shared" si="20"/>
        <v/>
      </c>
      <c r="D274" s="80" t="str">
        <f t="shared" si="21"/>
        <v/>
      </c>
      <c r="E274" s="89"/>
      <c r="F274" s="128" t="str">
        <f t="shared" si="22"/>
        <v/>
      </c>
      <c r="G274" s="122"/>
      <c r="H274" s="122"/>
      <c r="I274" s="122"/>
      <c r="J274" s="89"/>
      <c r="L274" t="str">
        <f t="shared" si="23"/>
        <v/>
      </c>
      <c r="M274" t="str">
        <f t="shared" si="24"/>
        <v/>
      </c>
    </row>
    <row r="275" spans="1:13">
      <c r="A275" s="81" t="str">
        <f>IF(E275="","",VLOOKUP('OPĆI DIO'!$C$3,'OPĆI DIO'!$L$6:$U$138,10,FALSE))</f>
        <v/>
      </c>
      <c r="B275" s="81" t="str">
        <f>IF(E275="","",VLOOKUP('OPĆI DIO'!$C$3,'OPĆI DIO'!$L$6:$U$138,9,FALSE))</f>
        <v/>
      </c>
      <c r="C275" s="124" t="str">
        <f t="shared" si="20"/>
        <v/>
      </c>
      <c r="D275" s="80" t="str">
        <f t="shared" si="21"/>
        <v/>
      </c>
      <c r="E275" s="89"/>
      <c r="F275" s="128" t="str">
        <f t="shared" si="22"/>
        <v/>
      </c>
      <c r="G275" s="122"/>
      <c r="H275" s="122"/>
      <c r="I275" s="122"/>
      <c r="J275" s="89"/>
      <c r="L275" t="str">
        <f t="shared" si="23"/>
        <v/>
      </c>
      <c r="M275" t="str">
        <f t="shared" si="24"/>
        <v/>
      </c>
    </row>
    <row r="276" spans="1:13">
      <c r="A276" s="81" t="str">
        <f>IF(E276="","",VLOOKUP('OPĆI DIO'!$C$3,'OPĆI DIO'!$L$6:$U$138,10,FALSE))</f>
        <v/>
      </c>
      <c r="B276" s="81" t="str">
        <f>IF(E276="","",VLOOKUP('OPĆI DIO'!$C$3,'OPĆI DIO'!$L$6:$U$138,9,FALSE))</f>
        <v/>
      </c>
      <c r="C276" s="124" t="str">
        <f t="shared" si="20"/>
        <v/>
      </c>
      <c r="D276" s="80" t="str">
        <f t="shared" si="21"/>
        <v/>
      </c>
      <c r="E276" s="89"/>
      <c r="F276" s="128" t="str">
        <f t="shared" si="22"/>
        <v/>
      </c>
      <c r="G276" s="122"/>
      <c r="H276" s="122"/>
      <c r="I276" s="122"/>
      <c r="J276" s="89"/>
      <c r="L276" t="str">
        <f t="shared" si="23"/>
        <v/>
      </c>
      <c r="M276" t="str">
        <f t="shared" si="24"/>
        <v/>
      </c>
    </row>
    <row r="277" spans="1:13">
      <c r="A277" s="81" t="str">
        <f>IF(E277="","",VLOOKUP('OPĆI DIO'!$C$3,'OPĆI DIO'!$L$6:$U$138,10,FALSE))</f>
        <v/>
      </c>
      <c r="B277" s="81" t="str">
        <f>IF(E277="","",VLOOKUP('OPĆI DIO'!$C$3,'OPĆI DIO'!$L$6:$U$138,9,FALSE))</f>
        <v/>
      </c>
      <c r="C277" s="124" t="str">
        <f t="shared" si="20"/>
        <v/>
      </c>
      <c r="D277" s="80" t="str">
        <f t="shared" si="21"/>
        <v/>
      </c>
      <c r="E277" s="89"/>
      <c r="F277" s="128" t="str">
        <f t="shared" si="22"/>
        <v/>
      </c>
      <c r="G277" s="122"/>
      <c r="H277" s="122"/>
      <c r="I277" s="122"/>
      <c r="J277" s="89"/>
      <c r="L277" t="str">
        <f t="shared" si="23"/>
        <v/>
      </c>
      <c r="M277" t="str">
        <f t="shared" si="24"/>
        <v/>
      </c>
    </row>
    <row r="278" spans="1:13">
      <c r="A278" s="81" t="str">
        <f>IF(E278="","",VLOOKUP('OPĆI DIO'!$C$3,'OPĆI DIO'!$L$6:$U$138,10,FALSE))</f>
        <v/>
      </c>
      <c r="B278" s="81" t="str">
        <f>IF(E278="","",VLOOKUP('OPĆI DIO'!$C$3,'OPĆI DIO'!$L$6:$U$138,9,FALSE))</f>
        <v/>
      </c>
      <c r="C278" s="124" t="str">
        <f t="shared" si="20"/>
        <v/>
      </c>
      <c r="D278" s="80" t="str">
        <f t="shared" si="21"/>
        <v/>
      </c>
      <c r="E278" s="89"/>
      <c r="F278" s="128" t="str">
        <f t="shared" si="22"/>
        <v/>
      </c>
      <c r="G278" s="122"/>
      <c r="H278" s="122"/>
      <c r="I278" s="122"/>
      <c r="J278" s="89"/>
      <c r="L278" t="str">
        <f t="shared" si="23"/>
        <v/>
      </c>
      <c r="M278" t="str">
        <f t="shared" si="24"/>
        <v/>
      </c>
    </row>
    <row r="279" spans="1:13">
      <c r="A279" s="81" t="str">
        <f>IF(E279="","",VLOOKUP('OPĆI DIO'!$C$3,'OPĆI DIO'!$L$6:$U$138,10,FALSE))</f>
        <v/>
      </c>
      <c r="B279" s="81" t="str">
        <f>IF(E279="","",VLOOKUP('OPĆI DIO'!$C$3,'OPĆI DIO'!$L$6:$U$138,9,FALSE))</f>
        <v/>
      </c>
      <c r="C279" s="124" t="str">
        <f t="shared" si="20"/>
        <v/>
      </c>
      <c r="D279" s="80" t="str">
        <f t="shared" si="21"/>
        <v/>
      </c>
      <c r="E279" s="89"/>
      <c r="F279" s="128" t="str">
        <f t="shared" si="22"/>
        <v/>
      </c>
      <c r="G279" s="122"/>
      <c r="H279" s="122"/>
      <c r="I279" s="122"/>
      <c r="J279" s="89"/>
      <c r="L279" t="str">
        <f t="shared" si="23"/>
        <v/>
      </c>
      <c r="M279" t="str">
        <f t="shared" si="24"/>
        <v/>
      </c>
    </row>
    <row r="280" spans="1:13">
      <c r="A280" s="81" t="str">
        <f>IF(E280="","",VLOOKUP('OPĆI DIO'!$C$3,'OPĆI DIO'!$L$6:$U$138,10,FALSE))</f>
        <v/>
      </c>
      <c r="B280" s="81" t="str">
        <f>IF(E280="","",VLOOKUP('OPĆI DIO'!$C$3,'OPĆI DIO'!$L$6:$U$138,9,FALSE))</f>
        <v/>
      </c>
      <c r="C280" s="124" t="str">
        <f t="shared" si="20"/>
        <v/>
      </c>
      <c r="D280" s="80" t="str">
        <f t="shared" si="21"/>
        <v/>
      </c>
      <c r="E280" s="89"/>
      <c r="F280" s="128" t="str">
        <f t="shared" si="22"/>
        <v/>
      </c>
      <c r="G280" s="122"/>
      <c r="H280" s="122"/>
      <c r="I280" s="122"/>
      <c r="J280" s="89"/>
      <c r="L280" t="str">
        <f t="shared" si="23"/>
        <v/>
      </c>
      <c r="M280" t="str">
        <f t="shared" si="24"/>
        <v/>
      </c>
    </row>
    <row r="281" spans="1:13">
      <c r="A281" s="81" t="str">
        <f>IF(E281="","",VLOOKUP('OPĆI DIO'!$C$3,'OPĆI DIO'!$L$6:$U$138,10,FALSE))</f>
        <v/>
      </c>
      <c r="B281" s="81" t="str">
        <f>IF(E281="","",VLOOKUP('OPĆI DIO'!$C$3,'OPĆI DIO'!$L$6:$U$138,9,FALSE))</f>
        <v/>
      </c>
      <c r="C281" s="124" t="str">
        <f t="shared" si="20"/>
        <v/>
      </c>
      <c r="D281" s="80" t="str">
        <f t="shared" si="21"/>
        <v/>
      </c>
      <c r="E281" s="89"/>
      <c r="F281" s="128" t="str">
        <f t="shared" si="22"/>
        <v/>
      </c>
      <c r="G281" s="122"/>
      <c r="H281" s="122"/>
      <c r="I281" s="122"/>
      <c r="J281" s="89"/>
      <c r="L281" t="str">
        <f t="shared" si="23"/>
        <v/>
      </c>
      <c r="M281" t="str">
        <f t="shared" si="24"/>
        <v/>
      </c>
    </row>
    <row r="282" spans="1:13">
      <c r="A282" s="81" t="str">
        <f>IF(E282="","",VLOOKUP('OPĆI DIO'!$C$3,'OPĆI DIO'!$L$6:$U$138,10,FALSE))</f>
        <v/>
      </c>
      <c r="B282" s="81" t="str">
        <f>IF(E282="","",VLOOKUP('OPĆI DIO'!$C$3,'OPĆI DIO'!$L$6:$U$138,9,FALSE))</f>
        <v/>
      </c>
      <c r="C282" s="124" t="str">
        <f t="shared" si="20"/>
        <v/>
      </c>
      <c r="D282" s="80" t="str">
        <f t="shared" si="21"/>
        <v/>
      </c>
      <c r="E282" s="89"/>
      <c r="F282" s="128" t="str">
        <f t="shared" si="22"/>
        <v/>
      </c>
      <c r="G282" s="122"/>
      <c r="H282" s="122"/>
      <c r="I282" s="122"/>
      <c r="J282" s="89"/>
      <c r="L282" t="str">
        <f t="shared" si="23"/>
        <v/>
      </c>
      <c r="M282" t="str">
        <f t="shared" si="24"/>
        <v/>
      </c>
    </row>
    <row r="283" spans="1:13">
      <c r="A283" s="81" t="str">
        <f>IF(E283="","",VLOOKUP('OPĆI DIO'!$C$3,'OPĆI DIO'!$L$6:$U$138,10,FALSE))</f>
        <v/>
      </c>
      <c r="B283" s="81" t="str">
        <f>IF(E283="","",VLOOKUP('OPĆI DIO'!$C$3,'OPĆI DIO'!$L$6:$U$138,9,FALSE))</f>
        <v/>
      </c>
      <c r="C283" s="124" t="str">
        <f t="shared" si="20"/>
        <v/>
      </c>
      <c r="D283" s="80" t="str">
        <f t="shared" si="21"/>
        <v/>
      </c>
      <c r="E283" s="89"/>
      <c r="F283" s="128" t="str">
        <f t="shared" si="22"/>
        <v/>
      </c>
      <c r="G283" s="122"/>
      <c r="H283" s="122"/>
      <c r="I283" s="122"/>
      <c r="J283" s="89"/>
      <c r="L283" t="str">
        <f t="shared" si="23"/>
        <v/>
      </c>
      <c r="M283" t="str">
        <f t="shared" si="24"/>
        <v/>
      </c>
    </row>
    <row r="284" spans="1:13">
      <c r="A284" s="81" t="str">
        <f>IF(E284="","",VLOOKUP('OPĆI DIO'!$C$3,'OPĆI DIO'!$L$6:$U$138,10,FALSE))</f>
        <v/>
      </c>
      <c r="B284" s="81" t="str">
        <f>IF(E284="","",VLOOKUP('OPĆI DIO'!$C$3,'OPĆI DIO'!$L$6:$U$138,9,FALSE))</f>
        <v/>
      </c>
      <c r="C284" s="124" t="str">
        <f t="shared" si="20"/>
        <v/>
      </c>
      <c r="D284" s="80" t="str">
        <f t="shared" si="21"/>
        <v/>
      </c>
      <c r="E284" s="89"/>
      <c r="F284" s="128" t="str">
        <f t="shared" si="22"/>
        <v/>
      </c>
      <c r="G284" s="122"/>
      <c r="H284" s="122"/>
      <c r="I284" s="122"/>
      <c r="J284" s="89"/>
      <c r="L284" t="str">
        <f t="shared" si="23"/>
        <v/>
      </c>
      <c r="M284" t="str">
        <f t="shared" si="24"/>
        <v/>
      </c>
    </row>
    <row r="285" spans="1:13">
      <c r="A285" s="81" t="str">
        <f>IF(E285="","",VLOOKUP('OPĆI DIO'!$C$3,'OPĆI DIO'!$L$6:$U$138,10,FALSE))</f>
        <v/>
      </c>
      <c r="B285" s="81" t="str">
        <f>IF(E285="","",VLOOKUP('OPĆI DIO'!$C$3,'OPĆI DIO'!$L$6:$U$138,9,FALSE))</f>
        <v/>
      </c>
      <c r="C285" s="124" t="str">
        <f t="shared" si="20"/>
        <v/>
      </c>
      <c r="D285" s="80" t="str">
        <f t="shared" si="21"/>
        <v/>
      </c>
      <c r="E285" s="89"/>
      <c r="F285" s="128" t="str">
        <f t="shared" si="22"/>
        <v/>
      </c>
      <c r="G285" s="122"/>
      <c r="H285" s="122"/>
      <c r="I285" s="122"/>
      <c r="J285" s="89"/>
      <c r="L285" t="str">
        <f t="shared" si="23"/>
        <v/>
      </c>
      <c r="M285" t="str">
        <f t="shared" si="24"/>
        <v/>
      </c>
    </row>
    <row r="286" spans="1:13">
      <c r="A286" s="81" t="str">
        <f>IF(E286="","",VLOOKUP('OPĆI DIO'!$C$3,'OPĆI DIO'!$L$6:$U$138,10,FALSE))</f>
        <v/>
      </c>
      <c r="B286" s="81" t="str">
        <f>IF(E286="","",VLOOKUP('OPĆI DIO'!$C$3,'OPĆI DIO'!$L$6:$U$138,9,FALSE))</f>
        <v/>
      </c>
      <c r="C286" s="124" t="str">
        <f t="shared" si="20"/>
        <v/>
      </c>
      <c r="D286" s="80" t="str">
        <f t="shared" si="21"/>
        <v/>
      </c>
      <c r="E286" s="89"/>
      <c r="F286" s="128" t="str">
        <f t="shared" si="22"/>
        <v/>
      </c>
      <c r="G286" s="122"/>
      <c r="H286" s="122"/>
      <c r="I286" s="122"/>
      <c r="J286" s="89"/>
      <c r="L286" t="str">
        <f t="shared" si="23"/>
        <v/>
      </c>
      <c r="M286" t="str">
        <f t="shared" si="24"/>
        <v/>
      </c>
    </row>
    <row r="287" spans="1:13">
      <c r="A287" s="81" t="str">
        <f>IF(E287="","",VLOOKUP('OPĆI DIO'!$C$3,'OPĆI DIO'!$L$6:$U$138,10,FALSE))</f>
        <v/>
      </c>
      <c r="B287" s="81" t="str">
        <f>IF(E287="","",VLOOKUP('OPĆI DIO'!$C$3,'OPĆI DIO'!$L$6:$U$138,9,FALSE))</f>
        <v/>
      </c>
      <c r="C287" s="124" t="str">
        <f t="shared" si="20"/>
        <v/>
      </c>
      <c r="D287" s="80" t="str">
        <f t="shared" si="21"/>
        <v/>
      </c>
      <c r="E287" s="89"/>
      <c r="F287" s="128" t="str">
        <f t="shared" si="22"/>
        <v/>
      </c>
      <c r="G287" s="122"/>
      <c r="H287" s="122"/>
      <c r="I287" s="122"/>
      <c r="J287" s="89"/>
      <c r="L287" t="str">
        <f t="shared" si="23"/>
        <v/>
      </c>
      <c r="M287" t="str">
        <f t="shared" si="24"/>
        <v/>
      </c>
    </row>
    <row r="288" spans="1:13">
      <c r="A288" s="81" t="str">
        <f>IF(E288="","",VLOOKUP('OPĆI DIO'!$C$3,'OPĆI DIO'!$L$6:$U$138,10,FALSE))</f>
        <v/>
      </c>
      <c r="B288" s="81" t="str">
        <f>IF(E288="","",VLOOKUP('OPĆI DIO'!$C$3,'OPĆI DIO'!$L$6:$U$138,9,FALSE))</f>
        <v/>
      </c>
      <c r="C288" s="124" t="str">
        <f t="shared" si="20"/>
        <v/>
      </c>
      <c r="D288" s="80" t="str">
        <f t="shared" si="21"/>
        <v/>
      </c>
      <c r="E288" s="89"/>
      <c r="F288" s="128" t="str">
        <f t="shared" si="22"/>
        <v/>
      </c>
      <c r="G288" s="122"/>
      <c r="H288" s="122"/>
      <c r="I288" s="122"/>
      <c r="J288" s="89"/>
      <c r="L288" t="str">
        <f t="shared" si="23"/>
        <v/>
      </c>
      <c r="M288" t="str">
        <f t="shared" si="24"/>
        <v/>
      </c>
    </row>
    <row r="289" spans="1:13">
      <c r="A289" s="81" t="str">
        <f>IF(E289="","",VLOOKUP('OPĆI DIO'!$C$3,'OPĆI DIO'!$L$6:$U$138,10,FALSE))</f>
        <v/>
      </c>
      <c r="B289" s="81" t="str">
        <f>IF(E289="","",VLOOKUP('OPĆI DIO'!$C$3,'OPĆI DIO'!$L$6:$U$138,9,FALSE))</f>
        <v/>
      </c>
      <c r="C289" s="124" t="str">
        <f t="shared" si="20"/>
        <v/>
      </c>
      <c r="D289" s="80" t="str">
        <f t="shared" si="21"/>
        <v/>
      </c>
      <c r="E289" s="89"/>
      <c r="F289" s="128" t="str">
        <f t="shared" si="22"/>
        <v/>
      </c>
      <c r="G289" s="122"/>
      <c r="H289" s="122"/>
      <c r="I289" s="122"/>
      <c r="J289" s="89"/>
      <c r="L289" t="str">
        <f t="shared" si="23"/>
        <v/>
      </c>
      <c r="M289" t="str">
        <f t="shared" si="24"/>
        <v/>
      </c>
    </row>
    <row r="290" spans="1:13">
      <c r="A290" s="81" t="str">
        <f>IF(E290="","",VLOOKUP('OPĆI DIO'!$C$3,'OPĆI DIO'!$L$6:$U$138,10,FALSE))</f>
        <v/>
      </c>
      <c r="B290" s="81" t="str">
        <f>IF(E290="","",VLOOKUP('OPĆI DIO'!$C$3,'OPĆI DIO'!$L$6:$U$138,9,FALSE))</f>
        <v/>
      </c>
      <c r="C290" s="124" t="str">
        <f t="shared" si="20"/>
        <v/>
      </c>
      <c r="D290" s="80" t="str">
        <f t="shared" si="21"/>
        <v/>
      </c>
      <c r="E290" s="89"/>
      <c r="F290" s="128" t="str">
        <f t="shared" si="22"/>
        <v/>
      </c>
      <c r="G290" s="122"/>
      <c r="H290" s="122"/>
      <c r="I290" s="122"/>
      <c r="J290" s="89"/>
      <c r="L290" t="str">
        <f t="shared" si="23"/>
        <v/>
      </c>
      <c r="M290" t="str">
        <f t="shared" si="24"/>
        <v/>
      </c>
    </row>
    <row r="291" spans="1:13">
      <c r="A291" s="81" t="str">
        <f>IF(E291="","",VLOOKUP('OPĆI DIO'!$C$3,'OPĆI DIO'!$L$6:$U$138,10,FALSE))</f>
        <v/>
      </c>
      <c r="B291" s="81" t="str">
        <f>IF(E291="","",VLOOKUP('OPĆI DIO'!$C$3,'OPĆI DIO'!$L$6:$U$138,9,FALSE))</f>
        <v/>
      </c>
      <c r="C291" s="124" t="str">
        <f t="shared" si="20"/>
        <v/>
      </c>
      <c r="D291" s="80" t="str">
        <f t="shared" si="21"/>
        <v/>
      </c>
      <c r="E291" s="89"/>
      <c r="F291" s="128" t="str">
        <f t="shared" si="22"/>
        <v/>
      </c>
      <c r="G291" s="122"/>
      <c r="H291" s="122"/>
      <c r="I291" s="122"/>
      <c r="J291" s="89"/>
      <c r="L291" t="str">
        <f t="shared" si="23"/>
        <v/>
      </c>
      <c r="M291" t="str">
        <f t="shared" si="24"/>
        <v/>
      </c>
    </row>
    <row r="292" spans="1:13">
      <c r="A292" s="81" t="str">
        <f>IF(E292="","",VLOOKUP('OPĆI DIO'!$C$3,'OPĆI DIO'!$L$6:$U$138,10,FALSE))</f>
        <v/>
      </c>
      <c r="B292" s="81" t="str">
        <f>IF(E292="","",VLOOKUP('OPĆI DIO'!$C$3,'OPĆI DIO'!$L$6:$U$138,9,FALSE))</f>
        <v/>
      </c>
      <c r="C292" s="124" t="str">
        <f t="shared" si="20"/>
        <v/>
      </c>
      <c r="D292" s="80" t="str">
        <f t="shared" si="21"/>
        <v/>
      </c>
      <c r="E292" s="89"/>
      <c r="F292" s="128" t="str">
        <f t="shared" si="22"/>
        <v/>
      </c>
      <c r="G292" s="122"/>
      <c r="H292" s="122"/>
      <c r="I292" s="122"/>
      <c r="J292" s="89"/>
      <c r="L292" t="str">
        <f t="shared" si="23"/>
        <v/>
      </c>
      <c r="M292" t="str">
        <f t="shared" si="24"/>
        <v/>
      </c>
    </row>
    <row r="293" spans="1:13">
      <c r="A293" s="81" t="str">
        <f>IF(E293="","",VLOOKUP('OPĆI DIO'!$C$3,'OPĆI DIO'!$L$6:$U$138,10,FALSE))</f>
        <v/>
      </c>
      <c r="B293" s="81" t="str">
        <f>IF(E293="","",VLOOKUP('OPĆI DIO'!$C$3,'OPĆI DIO'!$L$6:$U$138,9,FALSE))</f>
        <v/>
      </c>
      <c r="C293" s="124" t="str">
        <f t="shared" si="20"/>
        <v/>
      </c>
      <c r="D293" s="80" t="str">
        <f t="shared" si="21"/>
        <v/>
      </c>
      <c r="E293" s="89"/>
      <c r="F293" s="128" t="str">
        <f t="shared" si="22"/>
        <v/>
      </c>
      <c r="G293" s="122"/>
      <c r="H293" s="122"/>
      <c r="I293" s="122"/>
      <c r="J293" s="89"/>
      <c r="L293" t="str">
        <f t="shared" si="23"/>
        <v/>
      </c>
      <c r="M293" t="str">
        <f t="shared" si="24"/>
        <v/>
      </c>
    </row>
    <row r="294" spans="1:13">
      <c r="A294" s="81" t="str">
        <f>IF(E294="","",VLOOKUP('OPĆI DIO'!$C$3,'OPĆI DIO'!$L$6:$U$138,10,FALSE))</f>
        <v/>
      </c>
      <c r="B294" s="81" t="str">
        <f>IF(E294="","",VLOOKUP('OPĆI DIO'!$C$3,'OPĆI DIO'!$L$6:$U$138,9,FALSE))</f>
        <v/>
      </c>
      <c r="C294" s="124" t="str">
        <f t="shared" si="20"/>
        <v/>
      </c>
      <c r="D294" s="80" t="str">
        <f t="shared" si="21"/>
        <v/>
      </c>
      <c r="E294" s="89"/>
      <c r="F294" s="128" t="str">
        <f t="shared" si="22"/>
        <v/>
      </c>
      <c r="G294" s="122"/>
      <c r="H294" s="122"/>
      <c r="I294" s="122"/>
      <c r="J294" s="89"/>
      <c r="L294" t="str">
        <f t="shared" si="23"/>
        <v/>
      </c>
      <c r="M294" t="str">
        <f t="shared" si="24"/>
        <v/>
      </c>
    </row>
    <row r="295" spans="1:13">
      <c r="A295" s="81" t="str">
        <f>IF(E295="","",VLOOKUP('OPĆI DIO'!$C$3,'OPĆI DIO'!$L$6:$U$138,10,FALSE))</f>
        <v/>
      </c>
      <c r="B295" s="81" t="str">
        <f>IF(E295="","",VLOOKUP('OPĆI DIO'!$C$3,'OPĆI DIO'!$L$6:$U$138,9,FALSE))</f>
        <v/>
      </c>
      <c r="C295" s="124" t="str">
        <f t="shared" si="20"/>
        <v/>
      </c>
      <c r="D295" s="80" t="str">
        <f t="shared" si="21"/>
        <v/>
      </c>
      <c r="E295" s="89"/>
      <c r="F295" s="128" t="str">
        <f t="shared" si="22"/>
        <v/>
      </c>
      <c r="G295" s="122"/>
      <c r="H295" s="122"/>
      <c r="I295" s="122"/>
      <c r="J295" s="89"/>
      <c r="L295" t="str">
        <f t="shared" si="23"/>
        <v/>
      </c>
      <c r="M295" t="str">
        <f t="shared" si="24"/>
        <v/>
      </c>
    </row>
    <row r="296" spans="1:13">
      <c r="A296" s="81" t="str">
        <f>IF(E296="","",VLOOKUP('OPĆI DIO'!$C$3,'OPĆI DIO'!$L$6:$U$138,10,FALSE))</f>
        <v/>
      </c>
      <c r="B296" s="81" t="str">
        <f>IF(E296="","",VLOOKUP('OPĆI DIO'!$C$3,'OPĆI DIO'!$L$6:$U$138,9,FALSE))</f>
        <v/>
      </c>
      <c r="C296" s="124" t="str">
        <f t="shared" si="20"/>
        <v/>
      </c>
      <c r="D296" s="80" t="str">
        <f t="shared" si="21"/>
        <v/>
      </c>
      <c r="E296" s="89"/>
      <c r="F296" s="128" t="str">
        <f t="shared" si="22"/>
        <v/>
      </c>
      <c r="G296" s="122"/>
      <c r="H296" s="122"/>
      <c r="I296" s="122"/>
      <c r="J296" s="89"/>
      <c r="L296" t="str">
        <f t="shared" si="23"/>
        <v/>
      </c>
      <c r="M296" t="str">
        <f t="shared" si="24"/>
        <v/>
      </c>
    </row>
    <row r="297" spans="1:13">
      <c r="A297" s="81" t="str">
        <f>IF(E297="","",VLOOKUP('OPĆI DIO'!$C$3,'OPĆI DIO'!$L$6:$U$138,10,FALSE))</f>
        <v/>
      </c>
      <c r="B297" s="81" t="str">
        <f>IF(E297="","",VLOOKUP('OPĆI DIO'!$C$3,'OPĆI DIO'!$L$6:$U$138,9,FALSE))</f>
        <v/>
      </c>
      <c r="C297" s="124" t="str">
        <f t="shared" si="20"/>
        <v/>
      </c>
      <c r="D297" s="80" t="str">
        <f t="shared" si="21"/>
        <v/>
      </c>
      <c r="E297" s="89"/>
      <c r="F297" s="128" t="str">
        <f t="shared" si="22"/>
        <v/>
      </c>
      <c r="G297" s="122"/>
      <c r="H297" s="122"/>
      <c r="I297" s="122"/>
      <c r="J297" s="89"/>
      <c r="L297" t="str">
        <f t="shared" si="23"/>
        <v/>
      </c>
      <c r="M297" t="str">
        <f t="shared" si="24"/>
        <v/>
      </c>
    </row>
    <row r="298" spans="1:13">
      <c r="A298" s="81" t="str">
        <f>IF(E298="","",VLOOKUP('OPĆI DIO'!$C$3,'OPĆI DIO'!$L$6:$U$138,10,FALSE))</f>
        <v/>
      </c>
      <c r="B298" s="81" t="str">
        <f>IF(E298="","",VLOOKUP('OPĆI DIO'!$C$3,'OPĆI DIO'!$L$6:$U$138,9,FALSE))</f>
        <v/>
      </c>
      <c r="C298" s="124" t="str">
        <f t="shared" si="20"/>
        <v/>
      </c>
      <c r="D298" s="80" t="str">
        <f t="shared" si="21"/>
        <v/>
      </c>
      <c r="E298" s="89"/>
      <c r="F298" s="128" t="str">
        <f t="shared" si="22"/>
        <v/>
      </c>
      <c r="G298" s="122"/>
      <c r="H298" s="122"/>
      <c r="I298" s="122"/>
      <c r="J298" s="89"/>
      <c r="L298" t="str">
        <f t="shared" si="23"/>
        <v/>
      </c>
      <c r="M298" t="str">
        <f t="shared" si="24"/>
        <v/>
      </c>
    </row>
    <row r="299" spans="1:13">
      <c r="A299" s="81" t="str">
        <f>IF(E299="","",VLOOKUP('OPĆI DIO'!$C$3,'OPĆI DIO'!$L$6:$U$138,10,FALSE))</f>
        <v/>
      </c>
      <c r="B299" s="81" t="str">
        <f>IF(E299="","",VLOOKUP('OPĆI DIO'!$C$3,'OPĆI DIO'!$L$6:$U$138,9,FALSE))</f>
        <v/>
      </c>
      <c r="C299" s="124" t="str">
        <f t="shared" si="20"/>
        <v/>
      </c>
      <c r="D299" s="80" t="str">
        <f t="shared" si="21"/>
        <v/>
      </c>
      <c r="E299" s="89"/>
      <c r="F299" s="128" t="str">
        <f t="shared" si="22"/>
        <v/>
      </c>
      <c r="G299" s="122"/>
      <c r="H299" s="122"/>
      <c r="I299" s="122"/>
      <c r="J299" s="89"/>
      <c r="L299" t="str">
        <f t="shared" si="23"/>
        <v/>
      </c>
      <c r="M299" t="str">
        <f t="shared" si="24"/>
        <v/>
      </c>
    </row>
    <row r="300" spans="1:13">
      <c r="A300" s="81" t="str">
        <f>IF(E300="","",VLOOKUP('OPĆI DIO'!$C$3,'OPĆI DIO'!$L$6:$U$138,10,FALSE))</f>
        <v/>
      </c>
      <c r="B300" s="81" t="str">
        <f>IF(E300="","",VLOOKUP('OPĆI DIO'!$C$3,'OPĆI DIO'!$L$6:$U$138,9,FALSE))</f>
        <v/>
      </c>
      <c r="C300" s="124" t="str">
        <f t="shared" si="20"/>
        <v/>
      </c>
      <c r="D300" s="80" t="str">
        <f t="shared" si="21"/>
        <v/>
      </c>
      <c r="E300" s="89"/>
      <c r="F300" s="128" t="str">
        <f t="shared" si="22"/>
        <v/>
      </c>
      <c r="G300" s="122"/>
      <c r="H300" s="122"/>
      <c r="I300" s="122"/>
      <c r="J300" s="89"/>
      <c r="L300" t="str">
        <f t="shared" si="23"/>
        <v/>
      </c>
      <c r="M300" t="str">
        <f t="shared" si="24"/>
        <v/>
      </c>
    </row>
    <row r="301" spans="1:13">
      <c r="A301" s="81" t="str">
        <f>IF(E301="","",VLOOKUP('OPĆI DIO'!$C$3,'OPĆI DIO'!$L$6:$U$138,10,FALSE))</f>
        <v/>
      </c>
      <c r="B301" s="81" t="str">
        <f>IF(E301="","",VLOOKUP('OPĆI DIO'!$C$3,'OPĆI DIO'!$L$6:$U$138,9,FALSE))</f>
        <v/>
      </c>
      <c r="C301" s="124" t="str">
        <f t="shared" si="20"/>
        <v/>
      </c>
      <c r="D301" s="80" t="str">
        <f t="shared" si="21"/>
        <v/>
      </c>
      <c r="E301" s="89"/>
      <c r="F301" s="128" t="str">
        <f t="shared" si="22"/>
        <v/>
      </c>
      <c r="G301" s="122"/>
      <c r="H301" s="122"/>
      <c r="I301" s="122"/>
      <c r="J301" s="89"/>
      <c r="L301" t="str">
        <f t="shared" si="23"/>
        <v/>
      </c>
      <c r="M301" t="str">
        <f t="shared" si="24"/>
        <v/>
      </c>
    </row>
    <row r="302" spans="1:13">
      <c r="A302" s="81" t="str">
        <f>IF(E302="","",VLOOKUP('OPĆI DIO'!$C$3,'OPĆI DIO'!$L$6:$U$138,10,FALSE))</f>
        <v/>
      </c>
      <c r="B302" s="81" t="str">
        <f>IF(E302="","",VLOOKUP('OPĆI DIO'!$C$3,'OPĆI DIO'!$L$6:$U$138,9,FALSE))</f>
        <v/>
      </c>
      <c r="C302" s="124" t="str">
        <f t="shared" si="20"/>
        <v/>
      </c>
      <c r="D302" s="80" t="str">
        <f t="shared" si="21"/>
        <v/>
      </c>
      <c r="E302" s="89"/>
      <c r="F302" s="128" t="str">
        <f t="shared" si="22"/>
        <v/>
      </c>
      <c r="G302" s="122"/>
      <c r="H302" s="122"/>
      <c r="I302" s="122"/>
      <c r="J302" s="89"/>
      <c r="L302" t="str">
        <f t="shared" si="23"/>
        <v/>
      </c>
      <c r="M302" t="str">
        <f t="shared" si="24"/>
        <v/>
      </c>
    </row>
    <row r="303" spans="1:13">
      <c r="A303" s="81" t="str">
        <f>IF(E303="","",VLOOKUP('OPĆI DIO'!$C$3,'OPĆI DIO'!$L$6:$U$138,10,FALSE))</f>
        <v/>
      </c>
      <c r="B303" s="81" t="str">
        <f>IF(E303="","",VLOOKUP('OPĆI DIO'!$C$3,'OPĆI DIO'!$L$6:$U$138,9,FALSE))</f>
        <v/>
      </c>
      <c r="C303" s="124" t="str">
        <f t="shared" si="20"/>
        <v/>
      </c>
      <c r="D303" s="80" t="str">
        <f t="shared" si="21"/>
        <v/>
      </c>
      <c r="E303" s="89"/>
      <c r="F303" s="128" t="str">
        <f t="shared" si="22"/>
        <v/>
      </c>
      <c r="G303" s="122"/>
      <c r="H303" s="122"/>
      <c r="I303" s="122"/>
      <c r="J303" s="89"/>
      <c r="L303" t="str">
        <f t="shared" si="23"/>
        <v/>
      </c>
      <c r="M303" t="str">
        <f t="shared" si="24"/>
        <v/>
      </c>
    </row>
    <row r="304" spans="1:13">
      <c r="A304" s="81" t="str">
        <f>IF(E304="","",VLOOKUP('OPĆI DIO'!$C$3,'OPĆI DIO'!$L$6:$U$138,10,FALSE))</f>
        <v/>
      </c>
      <c r="B304" s="81" t="str">
        <f>IF(E304="","",VLOOKUP('OPĆI DIO'!$C$3,'OPĆI DIO'!$L$6:$U$138,9,FALSE))</f>
        <v/>
      </c>
      <c r="C304" s="124" t="str">
        <f t="shared" si="20"/>
        <v/>
      </c>
      <c r="D304" s="80" t="str">
        <f t="shared" si="21"/>
        <v/>
      </c>
      <c r="E304" s="89"/>
      <c r="F304" s="128" t="str">
        <f t="shared" si="22"/>
        <v/>
      </c>
      <c r="G304" s="122"/>
      <c r="H304" s="122"/>
      <c r="I304" s="122"/>
      <c r="J304" s="89"/>
      <c r="L304" t="str">
        <f t="shared" si="23"/>
        <v/>
      </c>
      <c r="M304" t="str">
        <f t="shared" si="24"/>
        <v/>
      </c>
    </row>
    <row r="305" spans="1:13">
      <c r="A305" s="81" t="str">
        <f>IF(E305="","",VLOOKUP('OPĆI DIO'!$C$3,'OPĆI DIO'!$L$6:$U$138,10,FALSE))</f>
        <v/>
      </c>
      <c r="B305" s="81" t="str">
        <f>IF(E305="","",VLOOKUP('OPĆI DIO'!$C$3,'OPĆI DIO'!$L$6:$U$138,9,FALSE))</f>
        <v/>
      </c>
      <c r="C305" s="124" t="str">
        <f t="shared" si="20"/>
        <v/>
      </c>
      <c r="D305" s="80" t="str">
        <f t="shared" si="21"/>
        <v/>
      </c>
      <c r="E305" s="89"/>
      <c r="F305" s="128" t="str">
        <f t="shared" si="22"/>
        <v/>
      </c>
      <c r="G305" s="122"/>
      <c r="H305" s="122"/>
      <c r="I305" s="122"/>
      <c r="J305" s="89"/>
      <c r="L305" t="str">
        <f t="shared" si="23"/>
        <v/>
      </c>
      <c r="M305" t="str">
        <f t="shared" si="24"/>
        <v/>
      </c>
    </row>
    <row r="306" spans="1:13">
      <c r="A306" s="81" t="str">
        <f>IF(E306="","",VLOOKUP('OPĆI DIO'!$C$3,'OPĆI DIO'!$L$6:$U$138,10,FALSE))</f>
        <v/>
      </c>
      <c r="B306" s="81" t="str">
        <f>IF(E306="","",VLOOKUP('OPĆI DIO'!$C$3,'OPĆI DIO'!$L$6:$U$138,9,FALSE))</f>
        <v/>
      </c>
      <c r="C306" s="124" t="str">
        <f t="shared" si="20"/>
        <v/>
      </c>
      <c r="D306" s="80" t="str">
        <f t="shared" si="21"/>
        <v/>
      </c>
      <c r="E306" s="89"/>
      <c r="F306" s="128" t="str">
        <f t="shared" si="22"/>
        <v/>
      </c>
      <c r="G306" s="122"/>
      <c r="H306" s="122"/>
      <c r="I306" s="122"/>
      <c r="J306" s="89"/>
      <c r="L306" t="str">
        <f t="shared" si="23"/>
        <v/>
      </c>
      <c r="M306" t="str">
        <f t="shared" si="24"/>
        <v/>
      </c>
    </row>
    <row r="307" spans="1:13">
      <c r="A307" s="81" t="str">
        <f>IF(E307="","",VLOOKUP('OPĆI DIO'!$C$3,'OPĆI DIO'!$L$6:$U$138,10,FALSE))</f>
        <v/>
      </c>
      <c r="B307" s="81" t="str">
        <f>IF(E307="","",VLOOKUP('OPĆI DIO'!$C$3,'OPĆI DIO'!$L$6:$U$138,9,FALSE))</f>
        <v/>
      </c>
      <c r="C307" s="124" t="str">
        <f t="shared" si="20"/>
        <v/>
      </c>
      <c r="D307" s="80" t="str">
        <f t="shared" si="21"/>
        <v/>
      </c>
      <c r="E307" s="89"/>
      <c r="F307" s="128" t="str">
        <f t="shared" si="22"/>
        <v/>
      </c>
      <c r="G307" s="122"/>
      <c r="H307" s="122"/>
      <c r="I307" s="122"/>
      <c r="J307" s="89"/>
      <c r="L307" t="str">
        <f t="shared" si="23"/>
        <v/>
      </c>
      <c r="M307" t="str">
        <f t="shared" si="24"/>
        <v/>
      </c>
    </row>
    <row r="308" spans="1:13">
      <c r="A308" s="81" t="str">
        <f>IF(E308="","",VLOOKUP('OPĆI DIO'!$C$3,'OPĆI DIO'!$L$6:$U$138,10,FALSE))</f>
        <v/>
      </c>
      <c r="B308" s="81" t="str">
        <f>IF(E308="","",VLOOKUP('OPĆI DIO'!$C$3,'OPĆI DIO'!$L$6:$U$138,9,FALSE))</f>
        <v/>
      </c>
      <c r="C308" s="124" t="str">
        <f t="shared" si="20"/>
        <v/>
      </c>
      <c r="D308" s="80" t="str">
        <f t="shared" si="21"/>
        <v/>
      </c>
      <c r="E308" s="89"/>
      <c r="F308" s="128" t="str">
        <f t="shared" si="22"/>
        <v/>
      </c>
      <c r="G308" s="122"/>
      <c r="H308" s="122"/>
      <c r="I308" s="122"/>
      <c r="J308" s="89"/>
      <c r="L308" t="str">
        <f t="shared" si="23"/>
        <v/>
      </c>
      <c r="M308" t="str">
        <f t="shared" si="24"/>
        <v/>
      </c>
    </row>
    <row r="309" spans="1:13">
      <c r="A309" s="81" t="str">
        <f>IF(E309="","",VLOOKUP('OPĆI DIO'!$C$3,'OPĆI DIO'!$L$6:$U$138,10,FALSE))</f>
        <v/>
      </c>
      <c r="B309" s="81" t="str">
        <f>IF(E309="","",VLOOKUP('OPĆI DIO'!$C$3,'OPĆI DIO'!$L$6:$U$138,9,FALSE))</f>
        <v/>
      </c>
      <c r="C309" s="124" t="str">
        <f t="shared" si="20"/>
        <v/>
      </c>
      <c r="D309" s="80" t="str">
        <f t="shared" si="21"/>
        <v/>
      </c>
      <c r="E309" s="89"/>
      <c r="F309" s="128" t="str">
        <f t="shared" si="22"/>
        <v/>
      </c>
      <c r="G309" s="122"/>
      <c r="H309" s="122"/>
      <c r="I309" s="122"/>
      <c r="J309" s="89"/>
      <c r="L309" t="str">
        <f t="shared" si="23"/>
        <v/>
      </c>
      <c r="M309" t="str">
        <f t="shared" si="24"/>
        <v/>
      </c>
    </row>
    <row r="310" spans="1:13">
      <c r="A310" s="81" t="str">
        <f>IF(E310="","",VLOOKUP('OPĆI DIO'!$C$3,'OPĆI DIO'!$L$6:$U$138,10,FALSE))</f>
        <v/>
      </c>
      <c r="B310" s="81" t="str">
        <f>IF(E310="","",VLOOKUP('OPĆI DIO'!$C$3,'OPĆI DIO'!$L$6:$U$138,9,FALSE))</f>
        <v/>
      </c>
      <c r="C310" s="124" t="str">
        <f t="shared" si="20"/>
        <v/>
      </c>
      <c r="D310" s="80" t="str">
        <f t="shared" si="21"/>
        <v/>
      </c>
      <c r="E310" s="89"/>
      <c r="F310" s="128" t="str">
        <f t="shared" si="22"/>
        <v/>
      </c>
      <c r="G310" s="122"/>
      <c r="H310" s="122"/>
      <c r="I310" s="122"/>
      <c r="J310" s="89"/>
      <c r="L310" t="str">
        <f t="shared" si="23"/>
        <v/>
      </c>
      <c r="M310" t="str">
        <f t="shared" si="24"/>
        <v/>
      </c>
    </row>
    <row r="311" spans="1:13">
      <c r="A311" s="81" t="str">
        <f>IF(E311="","",VLOOKUP('OPĆI DIO'!$C$3,'OPĆI DIO'!$L$6:$U$138,10,FALSE))</f>
        <v/>
      </c>
      <c r="B311" s="81" t="str">
        <f>IF(E311="","",VLOOKUP('OPĆI DIO'!$C$3,'OPĆI DIO'!$L$6:$U$138,9,FALSE))</f>
        <v/>
      </c>
      <c r="C311" s="124" t="str">
        <f t="shared" si="20"/>
        <v/>
      </c>
      <c r="D311" s="80" t="str">
        <f t="shared" si="21"/>
        <v/>
      </c>
      <c r="E311" s="89"/>
      <c r="F311" s="128" t="str">
        <f t="shared" si="22"/>
        <v/>
      </c>
      <c r="G311" s="122"/>
      <c r="H311" s="122"/>
      <c r="I311" s="122"/>
      <c r="J311" s="89"/>
      <c r="L311" t="str">
        <f t="shared" si="23"/>
        <v/>
      </c>
      <c r="M311" t="str">
        <f t="shared" si="24"/>
        <v/>
      </c>
    </row>
    <row r="312" spans="1:13">
      <c r="A312" s="81" t="str">
        <f>IF(E312="","",VLOOKUP('OPĆI DIO'!$C$3,'OPĆI DIO'!$L$6:$U$138,10,FALSE))</f>
        <v/>
      </c>
      <c r="B312" s="81" t="str">
        <f>IF(E312="","",VLOOKUP('OPĆI DIO'!$C$3,'OPĆI DIO'!$L$6:$U$138,9,FALSE))</f>
        <v/>
      </c>
      <c r="C312" s="124" t="str">
        <f t="shared" si="20"/>
        <v/>
      </c>
      <c r="D312" s="80" t="str">
        <f t="shared" si="21"/>
        <v/>
      </c>
      <c r="E312" s="89"/>
      <c r="F312" s="128" t="str">
        <f t="shared" si="22"/>
        <v/>
      </c>
      <c r="G312" s="122"/>
      <c r="H312" s="122"/>
      <c r="I312" s="122"/>
      <c r="J312" s="89"/>
      <c r="L312" t="str">
        <f t="shared" si="23"/>
        <v/>
      </c>
      <c r="M312" t="str">
        <f t="shared" si="24"/>
        <v/>
      </c>
    </row>
    <row r="313" spans="1:13">
      <c r="A313" s="81" t="str">
        <f>IF(E313="","",VLOOKUP('OPĆI DIO'!$C$3,'OPĆI DIO'!$L$6:$U$138,10,FALSE))</f>
        <v/>
      </c>
      <c r="B313" s="81" t="str">
        <f>IF(E313="","",VLOOKUP('OPĆI DIO'!$C$3,'OPĆI DIO'!$L$6:$U$138,9,FALSE))</f>
        <v/>
      </c>
      <c r="C313" s="124" t="str">
        <f t="shared" si="20"/>
        <v/>
      </c>
      <c r="D313" s="80" t="str">
        <f t="shared" si="21"/>
        <v/>
      </c>
      <c r="E313" s="89"/>
      <c r="F313" s="128" t="str">
        <f t="shared" si="22"/>
        <v/>
      </c>
      <c r="G313" s="122"/>
      <c r="H313" s="122"/>
      <c r="I313" s="122"/>
      <c r="J313" s="89"/>
      <c r="L313" t="str">
        <f t="shared" si="23"/>
        <v/>
      </c>
      <c r="M313" t="str">
        <f t="shared" si="24"/>
        <v/>
      </c>
    </row>
    <row r="314" spans="1:13">
      <c r="A314" s="81" t="str">
        <f>IF(E314="","",VLOOKUP('OPĆI DIO'!$C$3,'OPĆI DIO'!$L$6:$U$138,10,FALSE))</f>
        <v/>
      </c>
      <c r="B314" s="81" t="str">
        <f>IF(E314="","",VLOOKUP('OPĆI DIO'!$C$3,'OPĆI DIO'!$L$6:$U$138,9,FALSE))</f>
        <v/>
      </c>
      <c r="C314" s="124" t="str">
        <f t="shared" si="20"/>
        <v/>
      </c>
      <c r="D314" s="80" t="str">
        <f t="shared" si="21"/>
        <v/>
      </c>
      <c r="E314" s="89"/>
      <c r="F314" s="128" t="str">
        <f t="shared" si="22"/>
        <v/>
      </c>
      <c r="G314" s="122"/>
      <c r="H314" s="122"/>
      <c r="I314" s="122"/>
      <c r="J314" s="89"/>
      <c r="L314" t="str">
        <f t="shared" si="23"/>
        <v/>
      </c>
      <c r="M314" t="str">
        <f t="shared" si="24"/>
        <v/>
      </c>
    </row>
    <row r="315" spans="1:13">
      <c r="A315" s="81" t="str">
        <f>IF(E315="","",VLOOKUP('OPĆI DIO'!$C$3,'OPĆI DIO'!$L$6:$U$138,10,FALSE))</f>
        <v/>
      </c>
      <c r="B315" s="81" t="str">
        <f>IF(E315="","",VLOOKUP('OPĆI DIO'!$C$3,'OPĆI DIO'!$L$6:$U$138,9,FALSE))</f>
        <v/>
      </c>
      <c r="C315" s="124" t="str">
        <f t="shared" si="20"/>
        <v/>
      </c>
      <c r="D315" s="80" t="str">
        <f t="shared" si="21"/>
        <v/>
      </c>
      <c r="E315" s="89"/>
      <c r="F315" s="128" t="str">
        <f t="shared" si="22"/>
        <v/>
      </c>
      <c r="G315" s="122"/>
      <c r="H315" s="122"/>
      <c r="I315" s="122"/>
      <c r="J315" s="89"/>
      <c r="L315" t="str">
        <f t="shared" si="23"/>
        <v/>
      </c>
      <c r="M315" t="str">
        <f t="shared" si="24"/>
        <v/>
      </c>
    </row>
    <row r="316" spans="1:13">
      <c r="A316" s="81" t="str">
        <f>IF(E316="","",VLOOKUP('OPĆI DIO'!$C$3,'OPĆI DIO'!$L$6:$U$138,10,FALSE))</f>
        <v/>
      </c>
      <c r="B316" s="81" t="str">
        <f>IF(E316="","",VLOOKUP('OPĆI DIO'!$C$3,'OPĆI DIO'!$L$6:$U$138,9,FALSE))</f>
        <v/>
      </c>
      <c r="C316" s="124" t="str">
        <f t="shared" si="20"/>
        <v/>
      </c>
      <c r="D316" s="80" t="str">
        <f t="shared" si="21"/>
        <v/>
      </c>
      <c r="E316" s="89"/>
      <c r="F316" s="128" t="str">
        <f t="shared" si="22"/>
        <v/>
      </c>
      <c r="G316" s="122"/>
      <c r="H316" s="122"/>
      <c r="I316" s="122"/>
      <c r="J316" s="89"/>
      <c r="L316" t="str">
        <f t="shared" si="23"/>
        <v/>
      </c>
      <c r="M316" t="str">
        <f t="shared" si="24"/>
        <v/>
      </c>
    </row>
    <row r="317" spans="1:13">
      <c r="A317" s="81" t="str">
        <f>IF(E317="","",VLOOKUP('OPĆI DIO'!$C$3,'OPĆI DIO'!$L$6:$U$138,10,FALSE))</f>
        <v/>
      </c>
      <c r="B317" s="81" t="str">
        <f>IF(E317="","",VLOOKUP('OPĆI DIO'!$C$3,'OPĆI DIO'!$L$6:$U$138,9,FALSE))</f>
        <v/>
      </c>
      <c r="C317" s="124" t="str">
        <f t="shared" si="20"/>
        <v/>
      </c>
      <c r="D317" s="80" t="str">
        <f t="shared" si="21"/>
        <v/>
      </c>
      <c r="E317" s="89"/>
      <c r="F317" s="128" t="str">
        <f t="shared" si="22"/>
        <v/>
      </c>
      <c r="G317" s="122"/>
      <c r="H317" s="122"/>
      <c r="I317" s="122"/>
      <c r="J317" s="89"/>
      <c r="L317" t="str">
        <f t="shared" si="23"/>
        <v/>
      </c>
      <c r="M317" t="str">
        <f t="shared" si="24"/>
        <v/>
      </c>
    </row>
    <row r="318" spans="1:13">
      <c r="A318" s="81" t="str">
        <f>IF(E318="","",VLOOKUP('OPĆI DIO'!$C$3,'OPĆI DIO'!$L$6:$U$138,10,FALSE))</f>
        <v/>
      </c>
      <c r="B318" s="81" t="str">
        <f>IF(E318="","",VLOOKUP('OPĆI DIO'!$C$3,'OPĆI DIO'!$L$6:$U$138,9,FALSE))</f>
        <v/>
      </c>
      <c r="C318" s="124" t="str">
        <f t="shared" si="20"/>
        <v/>
      </c>
      <c r="D318" s="80" t="str">
        <f t="shared" si="21"/>
        <v/>
      </c>
      <c r="E318" s="89"/>
      <c r="F318" s="128" t="str">
        <f t="shared" si="22"/>
        <v/>
      </c>
      <c r="G318" s="122"/>
      <c r="H318" s="122"/>
      <c r="I318" s="122"/>
      <c r="J318" s="89"/>
      <c r="L318" t="str">
        <f t="shared" si="23"/>
        <v/>
      </c>
      <c r="M318" t="str">
        <f t="shared" si="24"/>
        <v/>
      </c>
    </row>
    <row r="319" spans="1:13">
      <c r="A319" s="81" t="str">
        <f>IF(E319="","",VLOOKUP('OPĆI DIO'!$C$3,'OPĆI DIO'!$L$6:$U$138,10,FALSE))</f>
        <v/>
      </c>
      <c r="B319" s="81" t="str">
        <f>IF(E319="","",VLOOKUP('OPĆI DIO'!$C$3,'OPĆI DIO'!$L$6:$U$138,9,FALSE))</f>
        <v/>
      </c>
      <c r="C319" s="124" t="str">
        <f t="shared" si="20"/>
        <v/>
      </c>
      <c r="D319" s="80" t="str">
        <f t="shared" si="21"/>
        <v/>
      </c>
      <c r="E319" s="89"/>
      <c r="F319" s="128" t="str">
        <f t="shared" si="22"/>
        <v/>
      </c>
      <c r="G319" s="122"/>
      <c r="H319" s="122"/>
      <c r="I319" s="122"/>
      <c r="J319" s="89"/>
      <c r="L319" t="str">
        <f t="shared" si="23"/>
        <v/>
      </c>
      <c r="M319" t="str">
        <f t="shared" si="24"/>
        <v/>
      </c>
    </row>
    <row r="320" spans="1:13">
      <c r="A320" s="81" t="str">
        <f>IF(E320="","",VLOOKUP('OPĆI DIO'!$C$3,'OPĆI DIO'!$L$6:$U$138,10,FALSE))</f>
        <v/>
      </c>
      <c r="B320" s="81" t="str">
        <f>IF(E320="","",VLOOKUP('OPĆI DIO'!$C$3,'OPĆI DIO'!$L$6:$U$138,9,FALSE))</f>
        <v/>
      </c>
      <c r="C320" s="124" t="str">
        <f t="shared" si="20"/>
        <v/>
      </c>
      <c r="D320" s="80" t="str">
        <f t="shared" si="21"/>
        <v/>
      </c>
      <c r="E320" s="89"/>
      <c r="F320" s="128" t="str">
        <f t="shared" si="22"/>
        <v/>
      </c>
      <c r="G320" s="122"/>
      <c r="H320" s="122"/>
      <c r="I320" s="122"/>
      <c r="J320" s="89"/>
      <c r="L320" t="str">
        <f t="shared" si="23"/>
        <v/>
      </c>
      <c r="M320" t="str">
        <f t="shared" si="24"/>
        <v/>
      </c>
    </row>
    <row r="321" spans="1:13">
      <c r="A321" s="81" t="str">
        <f>IF(E321="","",VLOOKUP('OPĆI DIO'!$C$3,'OPĆI DIO'!$L$6:$U$138,10,FALSE))</f>
        <v/>
      </c>
      <c r="B321" s="81" t="str">
        <f>IF(E321="","",VLOOKUP('OPĆI DIO'!$C$3,'OPĆI DIO'!$L$6:$U$138,9,FALSE))</f>
        <v/>
      </c>
      <c r="C321" s="124" t="str">
        <f t="shared" si="20"/>
        <v/>
      </c>
      <c r="D321" s="80" t="str">
        <f t="shared" si="21"/>
        <v/>
      </c>
      <c r="E321" s="89"/>
      <c r="F321" s="128" t="str">
        <f t="shared" si="22"/>
        <v/>
      </c>
      <c r="G321" s="122"/>
      <c r="H321" s="122"/>
      <c r="I321" s="122"/>
      <c r="J321" s="89"/>
      <c r="L321" t="str">
        <f t="shared" si="23"/>
        <v/>
      </c>
      <c r="M321" t="str">
        <f t="shared" si="24"/>
        <v/>
      </c>
    </row>
    <row r="322" spans="1:13">
      <c r="A322" s="81" t="str">
        <f>IF(E322="","",VLOOKUP('OPĆI DIO'!$C$3,'OPĆI DIO'!$L$6:$U$138,10,FALSE))</f>
        <v/>
      </c>
      <c r="B322" s="81" t="str">
        <f>IF(E322="","",VLOOKUP('OPĆI DIO'!$C$3,'OPĆI DIO'!$L$6:$U$138,9,FALSE))</f>
        <v/>
      </c>
      <c r="C322" s="124" t="str">
        <f t="shared" si="20"/>
        <v/>
      </c>
      <c r="D322" s="80" t="str">
        <f t="shared" si="21"/>
        <v/>
      </c>
      <c r="E322" s="89"/>
      <c r="F322" s="128" t="str">
        <f t="shared" si="22"/>
        <v/>
      </c>
      <c r="G322" s="122"/>
      <c r="H322" s="122"/>
      <c r="I322" s="122"/>
      <c r="J322" s="89"/>
      <c r="L322" t="str">
        <f t="shared" si="23"/>
        <v/>
      </c>
      <c r="M322" t="str">
        <f t="shared" si="24"/>
        <v/>
      </c>
    </row>
    <row r="323" spans="1:13">
      <c r="A323" s="81" t="str">
        <f>IF(E323="","",VLOOKUP('OPĆI DIO'!$C$3,'OPĆI DIO'!$L$6:$U$138,10,FALSE))</f>
        <v/>
      </c>
      <c r="B323" s="81" t="str">
        <f>IF(E323="","",VLOOKUP('OPĆI DIO'!$C$3,'OPĆI DIO'!$L$6:$U$138,9,FALSE))</f>
        <v/>
      </c>
      <c r="C323" s="124" t="str">
        <f t="shared" ref="C323:C386" si="25">IFERROR(VLOOKUP(E323,$R$6:$U$108,3,FALSE),"")</f>
        <v/>
      </c>
      <c r="D323" s="80" t="str">
        <f t="shared" ref="D323:D386" si="26">IFERROR(VLOOKUP(E323,$R$6:$U$108,4,FALSE),"")</f>
        <v/>
      </c>
      <c r="E323" s="89"/>
      <c r="F323" s="128" t="str">
        <f t="shared" ref="F323:F386" si="27">IFERROR(VLOOKUP(E323,$R$6:$U$108,2,FALSE),"")</f>
        <v/>
      </c>
      <c r="G323" s="122"/>
      <c r="H323" s="122"/>
      <c r="I323" s="122"/>
      <c r="J323" s="89"/>
      <c r="L323" t="str">
        <f t="shared" si="23"/>
        <v/>
      </c>
      <c r="M323" t="str">
        <f t="shared" si="24"/>
        <v/>
      </c>
    </row>
    <row r="324" spans="1:13">
      <c r="A324" s="81" t="str">
        <f>IF(E324="","",VLOOKUP('OPĆI DIO'!$C$3,'OPĆI DIO'!$L$6:$U$138,10,FALSE))</f>
        <v/>
      </c>
      <c r="B324" s="81" t="str">
        <f>IF(E324="","",VLOOKUP('OPĆI DIO'!$C$3,'OPĆI DIO'!$L$6:$U$138,9,FALSE))</f>
        <v/>
      </c>
      <c r="C324" s="124" t="str">
        <f t="shared" si="25"/>
        <v/>
      </c>
      <c r="D324" s="80" t="str">
        <f t="shared" si="26"/>
        <v/>
      </c>
      <c r="E324" s="89"/>
      <c r="F324" s="128" t="str">
        <f t="shared" si="27"/>
        <v/>
      </c>
      <c r="G324" s="122"/>
      <c r="H324" s="122"/>
      <c r="I324" s="122"/>
      <c r="J324" s="89"/>
      <c r="L324" t="str">
        <f t="shared" ref="L324:L387" si="28">LEFT(E324,2)</f>
        <v/>
      </c>
      <c r="M324" t="str">
        <f t="shared" ref="M324:M387" si="29">LEFT(E324,3)</f>
        <v/>
      </c>
    </row>
    <row r="325" spans="1:13">
      <c r="A325" s="81" t="str">
        <f>IF(E325="","",VLOOKUP('OPĆI DIO'!$C$3,'OPĆI DIO'!$L$6:$U$138,10,FALSE))</f>
        <v/>
      </c>
      <c r="B325" s="81" t="str">
        <f>IF(E325="","",VLOOKUP('OPĆI DIO'!$C$3,'OPĆI DIO'!$L$6:$U$138,9,FALSE))</f>
        <v/>
      </c>
      <c r="C325" s="124" t="str">
        <f t="shared" si="25"/>
        <v/>
      </c>
      <c r="D325" s="80" t="str">
        <f t="shared" si="26"/>
        <v/>
      </c>
      <c r="E325" s="89"/>
      <c r="F325" s="128" t="str">
        <f t="shared" si="27"/>
        <v/>
      </c>
      <c r="G325" s="122"/>
      <c r="H325" s="122"/>
      <c r="I325" s="122"/>
      <c r="J325" s="89"/>
      <c r="L325" t="str">
        <f t="shared" si="28"/>
        <v/>
      </c>
      <c r="M325" t="str">
        <f t="shared" si="29"/>
        <v/>
      </c>
    </row>
    <row r="326" spans="1:13">
      <c r="A326" s="81" t="str">
        <f>IF(E326="","",VLOOKUP('OPĆI DIO'!$C$3,'OPĆI DIO'!$L$6:$U$138,10,FALSE))</f>
        <v/>
      </c>
      <c r="B326" s="81" t="str">
        <f>IF(E326="","",VLOOKUP('OPĆI DIO'!$C$3,'OPĆI DIO'!$L$6:$U$138,9,FALSE))</f>
        <v/>
      </c>
      <c r="C326" s="124" t="str">
        <f t="shared" si="25"/>
        <v/>
      </c>
      <c r="D326" s="80" t="str">
        <f t="shared" si="26"/>
        <v/>
      </c>
      <c r="E326" s="89"/>
      <c r="F326" s="128" t="str">
        <f t="shared" si="27"/>
        <v/>
      </c>
      <c r="G326" s="122"/>
      <c r="H326" s="122"/>
      <c r="I326" s="122"/>
      <c r="J326" s="89"/>
      <c r="L326" t="str">
        <f t="shared" si="28"/>
        <v/>
      </c>
      <c r="M326" t="str">
        <f t="shared" si="29"/>
        <v/>
      </c>
    </row>
    <row r="327" spans="1:13">
      <c r="A327" s="81" t="str">
        <f>IF(E327="","",VLOOKUP('OPĆI DIO'!$C$3,'OPĆI DIO'!$L$6:$U$138,10,FALSE))</f>
        <v/>
      </c>
      <c r="B327" s="81" t="str">
        <f>IF(E327="","",VLOOKUP('OPĆI DIO'!$C$3,'OPĆI DIO'!$L$6:$U$138,9,FALSE))</f>
        <v/>
      </c>
      <c r="C327" s="124" t="str">
        <f t="shared" si="25"/>
        <v/>
      </c>
      <c r="D327" s="80" t="str">
        <f t="shared" si="26"/>
        <v/>
      </c>
      <c r="E327" s="89"/>
      <c r="F327" s="128" t="str">
        <f t="shared" si="27"/>
        <v/>
      </c>
      <c r="G327" s="122"/>
      <c r="H327" s="122"/>
      <c r="I327" s="122"/>
      <c r="J327" s="89"/>
      <c r="L327" t="str">
        <f t="shared" si="28"/>
        <v/>
      </c>
      <c r="M327" t="str">
        <f t="shared" si="29"/>
        <v/>
      </c>
    </row>
    <row r="328" spans="1:13">
      <c r="A328" s="81" t="str">
        <f>IF(E328="","",VLOOKUP('OPĆI DIO'!$C$3,'OPĆI DIO'!$L$6:$U$138,10,FALSE))</f>
        <v/>
      </c>
      <c r="B328" s="81" t="str">
        <f>IF(E328="","",VLOOKUP('OPĆI DIO'!$C$3,'OPĆI DIO'!$L$6:$U$138,9,FALSE))</f>
        <v/>
      </c>
      <c r="C328" s="124" t="str">
        <f t="shared" si="25"/>
        <v/>
      </c>
      <c r="D328" s="80" t="str">
        <f t="shared" si="26"/>
        <v/>
      </c>
      <c r="E328" s="89"/>
      <c r="F328" s="128" t="str">
        <f t="shared" si="27"/>
        <v/>
      </c>
      <c r="G328" s="122"/>
      <c r="H328" s="122"/>
      <c r="I328" s="122"/>
      <c r="J328" s="89"/>
      <c r="L328" t="str">
        <f t="shared" si="28"/>
        <v/>
      </c>
      <c r="M328" t="str">
        <f t="shared" si="29"/>
        <v/>
      </c>
    </row>
    <row r="329" spans="1:13">
      <c r="A329" s="81" t="str">
        <f>IF(E329="","",VLOOKUP('OPĆI DIO'!$C$3,'OPĆI DIO'!$L$6:$U$138,10,FALSE))</f>
        <v/>
      </c>
      <c r="B329" s="81" t="str">
        <f>IF(E329="","",VLOOKUP('OPĆI DIO'!$C$3,'OPĆI DIO'!$L$6:$U$138,9,FALSE))</f>
        <v/>
      </c>
      <c r="C329" s="124" t="str">
        <f t="shared" si="25"/>
        <v/>
      </c>
      <c r="D329" s="80" t="str">
        <f t="shared" si="26"/>
        <v/>
      </c>
      <c r="E329" s="89"/>
      <c r="F329" s="128" t="str">
        <f t="shared" si="27"/>
        <v/>
      </c>
      <c r="G329" s="122"/>
      <c r="H329" s="122"/>
      <c r="I329" s="122"/>
      <c r="J329" s="89"/>
      <c r="L329" t="str">
        <f t="shared" si="28"/>
        <v/>
      </c>
      <c r="M329" t="str">
        <f t="shared" si="29"/>
        <v/>
      </c>
    </row>
    <row r="330" spans="1:13">
      <c r="A330" s="81" t="str">
        <f>IF(E330="","",VLOOKUP('OPĆI DIO'!$C$3,'OPĆI DIO'!$L$6:$U$138,10,FALSE))</f>
        <v/>
      </c>
      <c r="B330" s="81" t="str">
        <f>IF(E330="","",VLOOKUP('OPĆI DIO'!$C$3,'OPĆI DIO'!$L$6:$U$138,9,FALSE))</f>
        <v/>
      </c>
      <c r="C330" s="124" t="str">
        <f t="shared" si="25"/>
        <v/>
      </c>
      <c r="D330" s="80" t="str">
        <f t="shared" si="26"/>
        <v/>
      </c>
      <c r="E330" s="89"/>
      <c r="F330" s="128" t="str">
        <f t="shared" si="27"/>
        <v/>
      </c>
      <c r="G330" s="122"/>
      <c r="H330" s="122"/>
      <c r="I330" s="122"/>
      <c r="J330" s="89"/>
      <c r="L330" t="str">
        <f t="shared" si="28"/>
        <v/>
      </c>
      <c r="M330" t="str">
        <f t="shared" si="29"/>
        <v/>
      </c>
    </row>
    <row r="331" spans="1:13">
      <c r="A331" s="81" t="str">
        <f>IF(E331="","",VLOOKUP('OPĆI DIO'!$C$3,'OPĆI DIO'!$L$6:$U$138,10,FALSE))</f>
        <v/>
      </c>
      <c r="B331" s="81" t="str">
        <f>IF(E331="","",VLOOKUP('OPĆI DIO'!$C$3,'OPĆI DIO'!$L$6:$U$138,9,FALSE))</f>
        <v/>
      </c>
      <c r="C331" s="124" t="str">
        <f t="shared" si="25"/>
        <v/>
      </c>
      <c r="D331" s="80" t="str">
        <f t="shared" si="26"/>
        <v/>
      </c>
      <c r="E331" s="89"/>
      <c r="F331" s="128" t="str">
        <f t="shared" si="27"/>
        <v/>
      </c>
      <c r="G331" s="122"/>
      <c r="H331" s="122"/>
      <c r="I331" s="122"/>
      <c r="J331" s="89"/>
      <c r="L331" t="str">
        <f t="shared" si="28"/>
        <v/>
      </c>
      <c r="M331" t="str">
        <f t="shared" si="29"/>
        <v/>
      </c>
    </row>
    <row r="332" spans="1:13">
      <c r="A332" s="81" t="str">
        <f>IF(E332="","",VLOOKUP('OPĆI DIO'!$C$3,'OPĆI DIO'!$L$6:$U$138,10,FALSE))</f>
        <v/>
      </c>
      <c r="B332" s="81" t="str">
        <f>IF(E332="","",VLOOKUP('OPĆI DIO'!$C$3,'OPĆI DIO'!$L$6:$U$138,9,FALSE))</f>
        <v/>
      </c>
      <c r="C332" s="124" t="str">
        <f t="shared" si="25"/>
        <v/>
      </c>
      <c r="D332" s="80" t="str">
        <f t="shared" si="26"/>
        <v/>
      </c>
      <c r="E332" s="89"/>
      <c r="F332" s="128" t="str">
        <f t="shared" si="27"/>
        <v/>
      </c>
      <c r="G332" s="122"/>
      <c r="H332" s="122"/>
      <c r="I332" s="122"/>
      <c r="J332" s="89"/>
      <c r="L332" t="str">
        <f t="shared" si="28"/>
        <v/>
      </c>
      <c r="M332" t="str">
        <f t="shared" si="29"/>
        <v/>
      </c>
    </row>
    <row r="333" spans="1:13">
      <c r="A333" s="81" t="str">
        <f>IF(E333="","",VLOOKUP('OPĆI DIO'!$C$3,'OPĆI DIO'!$L$6:$U$138,10,FALSE))</f>
        <v/>
      </c>
      <c r="B333" s="81" t="str">
        <f>IF(E333="","",VLOOKUP('OPĆI DIO'!$C$3,'OPĆI DIO'!$L$6:$U$138,9,FALSE))</f>
        <v/>
      </c>
      <c r="C333" s="124" t="str">
        <f t="shared" si="25"/>
        <v/>
      </c>
      <c r="D333" s="80" t="str">
        <f t="shared" si="26"/>
        <v/>
      </c>
      <c r="E333" s="89"/>
      <c r="F333" s="128" t="str">
        <f t="shared" si="27"/>
        <v/>
      </c>
      <c r="G333" s="122"/>
      <c r="H333" s="122"/>
      <c r="I333" s="122"/>
      <c r="J333" s="89"/>
      <c r="L333" t="str">
        <f t="shared" si="28"/>
        <v/>
      </c>
      <c r="M333" t="str">
        <f t="shared" si="29"/>
        <v/>
      </c>
    </row>
    <row r="334" spans="1:13">
      <c r="A334" s="81" t="str">
        <f>IF(E334="","",VLOOKUP('OPĆI DIO'!$C$3,'OPĆI DIO'!$L$6:$U$138,10,FALSE))</f>
        <v/>
      </c>
      <c r="B334" s="81" t="str">
        <f>IF(E334="","",VLOOKUP('OPĆI DIO'!$C$3,'OPĆI DIO'!$L$6:$U$138,9,FALSE))</f>
        <v/>
      </c>
      <c r="C334" s="124" t="str">
        <f t="shared" si="25"/>
        <v/>
      </c>
      <c r="D334" s="80" t="str">
        <f t="shared" si="26"/>
        <v/>
      </c>
      <c r="E334" s="89"/>
      <c r="F334" s="128" t="str">
        <f t="shared" si="27"/>
        <v/>
      </c>
      <c r="G334" s="122"/>
      <c r="H334" s="122"/>
      <c r="I334" s="122"/>
      <c r="J334" s="89"/>
      <c r="L334" t="str">
        <f t="shared" si="28"/>
        <v/>
      </c>
      <c r="M334" t="str">
        <f t="shared" si="29"/>
        <v/>
      </c>
    </row>
    <row r="335" spans="1:13">
      <c r="A335" s="81" t="str">
        <f>IF(E335="","",VLOOKUP('OPĆI DIO'!$C$3,'OPĆI DIO'!$L$6:$U$138,10,FALSE))</f>
        <v/>
      </c>
      <c r="B335" s="81" t="str">
        <f>IF(E335="","",VLOOKUP('OPĆI DIO'!$C$3,'OPĆI DIO'!$L$6:$U$138,9,FALSE))</f>
        <v/>
      </c>
      <c r="C335" s="124" t="str">
        <f t="shared" si="25"/>
        <v/>
      </c>
      <c r="D335" s="80" t="str">
        <f t="shared" si="26"/>
        <v/>
      </c>
      <c r="E335" s="89"/>
      <c r="F335" s="128" t="str">
        <f t="shared" si="27"/>
        <v/>
      </c>
      <c r="G335" s="122"/>
      <c r="H335" s="122"/>
      <c r="I335" s="122"/>
      <c r="J335" s="89"/>
      <c r="L335" t="str">
        <f t="shared" si="28"/>
        <v/>
      </c>
      <c r="M335" t="str">
        <f t="shared" si="29"/>
        <v/>
      </c>
    </row>
    <row r="336" spans="1:13">
      <c r="A336" s="81" t="str">
        <f>IF(E336="","",VLOOKUP('OPĆI DIO'!$C$3,'OPĆI DIO'!$L$6:$U$138,10,FALSE))</f>
        <v/>
      </c>
      <c r="B336" s="81" t="str">
        <f>IF(E336="","",VLOOKUP('OPĆI DIO'!$C$3,'OPĆI DIO'!$L$6:$U$138,9,FALSE))</f>
        <v/>
      </c>
      <c r="C336" s="124" t="str">
        <f t="shared" si="25"/>
        <v/>
      </c>
      <c r="D336" s="80" t="str">
        <f t="shared" si="26"/>
        <v/>
      </c>
      <c r="E336" s="89"/>
      <c r="F336" s="128" t="str">
        <f t="shared" si="27"/>
        <v/>
      </c>
      <c r="G336" s="122"/>
      <c r="H336" s="122"/>
      <c r="I336" s="122"/>
      <c r="J336" s="89"/>
      <c r="L336" t="str">
        <f t="shared" si="28"/>
        <v/>
      </c>
      <c r="M336" t="str">
        <f t="shared" si="29"/>
        <v/>
      </c>
    </row>
    <row r="337" spans="1:13">
      <c r="A337" s="81" t="str">
        <f>IF(E337="","",VLOOKUP('OPĆI DIO'!$C$3,'OPĆI DIO'!$L$6:$U$138,10,FALSE))</f>
        <v/>
      </c>
      <c r="B337" s="81" t="str">
        <f>IF(E337="","",VLOOKUP('OPĆI DIO'!$C$3,'OPĆI DIO'!$L$6:$U$138,9,FALSE))</f>
        <v/>
      </c>
      <c r="C337" s="124" t="str">
        <f t="shared" si="25"/>
        <v/>
      </c>
      <c r="D337" s="80" t="str">
        <f t="shared" si="26"/>
        <v/>
      </c>
      <c r="E337" s="89"/>
      <c r="F337" s="128" t="str">
        <f t="shared" si="27"/>
        <v/>
      </c>
      <c r="G337" s="122"/>
      <c r="H337" s="122"/>
      <c r="I337" s="122"/>
      <c r="J337" s="89"/>
      <c r="L337" t="str">
        <f t="shared" si="28"/>
        <v/>
      </c>
      <c r="M337" t="str">
        <f t="shared" si="29"/>
        <v/>
      </c>
    </row>
    <row r="338" spans="1:13">
      <c r="A338" s="81" t="str">
        <f>IF(E338="","",VLOOKUP('OPĆI DIO'!$C$3,'OPĆI DIO'!$L$6:$U$138,10,FALSE))</f>
        <v/>
      </c>
      <c r="B338" s="81" t="str">
        <f>IF(E338="","",VLOOKUP('OPĆI DIO'!$C$3,'OPĆI DIO'!$L$6:$U$138,9,FALSE))</f>
        <v/>
      </c>
      <c r="C338" s="124" t="str">
        <f t="shared" si="25"/>
        <v/>
      </c>
      <c r="D338" s="80" t="str">
        <f t="shared" si="26"/>
        <v/>
      </c>
      <c r="E338" s="89"/>
      <c r="F338" s="128" t="str">
        <f t="shared" si="27"/>
        <v/>
      </c>
      <c r="G338" s="122"/>
      <c r="H338" s="122"/>
      <c r="I338" s="122"/>
      <c r="J338" s="89"/>
      <c r="L338" t="str">
        <f t="shared" si="28"/>
        <v/>
      </c>
      <c r="M338" t="str">
        <f t="shared" si="29"/>
        <v/>
      </c>
    </row>
    <row r="339" spans="1:13">
      <c r="A339" s="81" t="str">
        <f>IF(E339="","",VLOOKUP('OPĆI DIO'!$C$3,'OPĆI DIO'!$L$6:$U$138,10,FALSE))</f>
        <v/>
      </c>
      <c r="B339" s="81" t="str">
        <f>IF(E339="","",VLOOKUP('OPĆI DIO'!$C$3,'OPĆI DIO'!$L$6:$U$138,9,FALSE))</f>
        <v/>
      </c>
      <c r="C339" s="124" t="str">
        <f t="shared" si="25"/>
        <v/>
      </c>
      <c r="D339" s="80" t="str">
        <f t="shared" si="26"/>
        <v/>
      </c>
      <c r="E339" s="89"/>
      <c r="F339" s="128" t="str">
        <f t="shared" si="27"/>
        <v/>
      </c>
      <c r="G339" s="122"/>
      <c r="H339" s="122"/>
      <c r="I339" s="122"/>
      <c r="J339" s="89"/>
      <c r="L339" t="str">
        <f t="shared" si="28"/>
        <v/>
      </c>
      <c r="M339" t="str">
        <f t="shared" si="29"/>
        <v/>
      </c>
    </row>
    <row r="340" spans="1:13">
      <c r="A340" s="81" t="str">
        <f>IF(E340="","",VLOOKUP('OPĆI DIO'!$C$3,'OPĆI DIO'!$L$6:$U$138,10,FALSE))</f>
        <v/>
      </c>
      <c r="B340" s="81" t="str">
        <f>IF(E340="","",VLOOKUP('OPĆI DIO'!$C$3,'OPĆI DIO'!$L$6:$U$138,9,FALSE))</f>
        <v/>
      </c>
      <c r="C340" s="124" t="str">
        <f t="shared" si="25"/>
        <v/>
      </c>
      <c r="D340" s="80" t="str">
        <f t="shared" si="26"/>
        <v/>
      </c>
      <c r="E340" s="89"/>
      <c r="F340" s="128" t="str">
        <f t="shared" si="27"/>
        <v/>
      </c>
      <c r="G340" s="122"/>
      <c r="H340" s="122"/>
      <c r="I340" s="122"/>
      <c r="J340" s="89"/>
      <c r="L340" t="str">
        <f t="shared" si="28"/>
        <v/>
      </c>
      <c r="M340" t="str">
        <f t="shared" si="29"/>
        <v/>
      </c>
    </row>
    <row r="341" spans="1:13">
      <c r="A341" s="81" t="str">
        <f>IF(E341="","",VLOOKUP('OPĆI DIO'!$C$3,'OPĆI DIO'!$L$6:$U$138,10,FALSE))</f>
        <v/>
      </c>
      <c r="B341" s="81" t="str">
        <f>IF(E341="","",VLOOKUP('OPĆI DIO'!$C$3,'OPĆI DIO'!$L$6:$U$138,9,FALSE))</f>
        <v/>
      </c>
      <c r="C341" s="124" t="str">
        <f t="shared" si="25"/>
        <v/>
      </c>
      <c r="D341" s="80" t="str">
        <f t="shared" si="26"/>
        <v/>
      </c>
      <c r="E341" s="89"/>
      <c r="F341" s="128" t="str">
        <f t="shared" si="27"/>
        <v/>
      </c>
      <c r="G341" s="122"/>
      <c r="H341" s="122"/>
      <c r="I341" s="122"/>
      <c r="J341" s="89"/>
      <c r="L341" t="str">
        <f t="shared" si="28"/>
        <v/>
      </c>
      <c r="M341" t="str">
        <f t="shared" si="29"/>
        <v/>
      </c>
    </row>
    <row r="342" spans="1:13">
      <c r="A342" s="81" t="str">
        <f>IF(E342="","",VLOOKUP('OPĆI DIO'!$C$3,'OPĆI DIO'!$L$6:$U$138,10,FALSE))</f>
        <v/>
      </c>
      <c r="B342" s="81" t="str">
        <f>IF(E342="","",VLOOKUP('OPĆI DIO'!$C$3,'OPĆI DIO'!$L$6:$U$138,9,FALSE))</f>
        <v/>
      </c>
      <c r="C342" s="124" t="str">
        <f t="shared" si="25"/>
        <v/>
      </c>
      <c r="D342" s="80" t="str">
        <f t="shared" si="26"/>
        <v/>
      </c>
      <c r="E342" s="89"/>
      <c r="F342" s="128" t="str">
        <f t="shared" si="27"/>
        <v/>
      </c>
      <c r="G342" s="122"/>
      <c r="H342" s="122"/>
      <c r="I342" s="122"/>
      <c r="J342" s="89"/>
      <c r="L342" t="str">
        <f t="shared" si="28"/>
        <v/>
      </c>
      <c r="M342" t="str">
        <f t="shared" si="29"/>
        <v/>
      </c>
    </row>
    <row r="343" spans="1:13">
      <c r="A343" s="81" t="str">
        <f>IF(E343="","",VLOOKUP('OPĆI DIO'!$C$3,'OPĆI DIO'!$L$6:$U$138,10,FALSE))</f>
        <v/>
      </c>
      <c r="B343" s="81" t="str">
        <f>IF(E343="","",VLOOKUP('OPĆI DIO'!$C$3,'OPĆI DIO'!$L$6:$U$138,9,FALSE))</f>
        <v/>
      </c>
      <c r="C343" s="124" t="str">
        <f t="shared" si="25"/>
        <v/>
      </c>
      <c r="D343" s="80" t="str">
        <f t="shared" si="26"/>
        <v/>
      </c>
      <c r="E343" s="89"/>
      <c r="F343" s="128" t="str">
        <f t="shared" si="27"/>
        <v/>
      </c>
      <c r="G343" s="122"/>
      <c r="H343" s="122"/>
      <c r="I343" s="122"/>
      <c r="J343" s="89"/>
      <c r="L343" t="str">
        <f t="shared" si="28"/>
        <v/>
      </c>
      <c r="M343" t="str">
        <f t="shared" si="29"/>
        <v/>
      </c>
    </row>
    <row r="344" spans="1:13">
      <c r="A344" s="81" t="str">
        <f>IF(E344="","",VLOOKUP('OPĆI DIO'!$C$3,'OPĆI DIO'!$L$6:$U$138,10,FALSE))</f>
        <v/>
      </c>
      <c r="B344" s="81" t="str">
        <f>IF(E344="","",VLOOKUP('OPĆI DIO'!$C$3,'OPĆI DIO'!$L$6:$U$138,9,FALSE))</f>
        <v/>
      </c>
      <c r="C344" s="124" t="str">
        <f t="shared" si="25"/>
        <v/>
      </c>
      <c r="D344" s="80" t="str">
        <f t="shared" si="26"/>
        <v/>
      </c>
      <c r="E344" s="89"/>
      <c r="F344" s="128" t="str">
        <f t="shared" si="27"/>
        <v/>
      </c>
      <c r="G344" s="122"/>
      <c r="H344" s="122"/>
      <c r="I344" s="122"/>
      <c r="J344" s="89"/>
      <c r="L344" t="str">
        <f t="shared" si="28"/>
        <v/>
      </c>
      <c r="M344" t="str">
        <f t="shared" si="29"/>
        <v/>
      </c>
    </row>
    <row r="345" spans="1:13">
      <c r="A345" s="81" t="str">
        <f>IF(E345="","",VLOOKUP('OPĆI DIO'!$C$3,'OPĆI DIO'!$L$6:$U$138,10,FALSE))</f>
        <v/>
      </c>
      <c r="B345" s="81" t="str">
        <f>IF(E345="","",VLOOKUP('OPĆI DIO'!$C$3,'OPĆI DIO'!$L$6:$U$138,9,FALSE))</f>
        <v/>
      </c>
      <c r="C345" s="124" t="str">
        <f t="shared" si="25"/>
        <v/>
      </c>
      <c r="D345" s="80" t="str">
        <f t="shared" si="26"/>
        <v/>
      </c>
      <c r="E345" s="89"/>
      <c r="F345" s="128" t="str">
        <f t="shared" si="27"/>
        <v/>
      </c>
      <c r="G345" s="122"/>
      <c r="H345" s="122"/>
      <c r="I345" s="122"/>
      <c r="J345" s="89"/>
      <c r="L345" t="str">
        <f t="shared" si="28"/>
        <v/>
      </c>
      <c r="M345" t="str">
        <f t="shared" si="29"/>
        <v/>
      </c>
    </row>
    <row r="346" spans="1:13">
      <c r="A346" s="81" t="str">
        <f>IF(E346="","",VLOOKUP('OPĆI DIO'!$C$3,'OPĆI DIO'!$L$6:$U$138,10,FALSE))</f>
        <v/>
      </c>
      <c r="B346" s="81" t="str">
        <f>IF(E346="","",VLOOKUP('OPĆI DIO'!$C$3,'OPĆI DIO'!$L$6:$U$138,9,FALSE))</f>
        <v/>
      </c>
      <c r="C346" s="124" t="str">
        <f t="shared" si="25"/>
        <v/>
      </c>
      <c r="D346" s="80" t="str">
        <f t="shared" si="26"/>
        <v/>
      </c>
      <c r="E346" s="89"/>
      <c r="F346" s="128" t="str">
        <f t="shared" si="27"/>
        <v/>
      </c>
      <c r="G346" s="122"/>
      <c r="H346" s="122"/>
      <c r="I346" s="122"/>
      <c r="J346" s="89"/>
      <c r="L346" t="str">
        <f t="shared" si="28"/>
        <v/>
      </c>
      <c r="M346" t="str">
        <f t="shared" si="29"/>
        <v/>
      </c>
    </row>
    <row r="347" spans="1:13">
      <c r="A347" s="81" t="str">
        <f>IF(E347="","",VLOOKUP('OPĆI DIO'!$C$3,'OPĆI DIO'!$L$6:$U$138,10,FALSE))</f>
        <v/>
      </c>
      <c r="B347" s="81" t="str">
        <f>IF(E347="","",VLOOKUP('OPĆI DIO'!$C$3,'OPĆI DIO'!$L$6:$U$138,9,FALSE))</f>
        <v/>
      </c>
      <c r="C347" s="124" t="str">
        <f t="shared" si="25"/>
        <v/>
      </c>
      <c r="D347" s="80" t="str">
        <f t="shared" si="26"/>
        <v/>
      </c>
      <c r="E347" s="89"/>
      <c r="F347" s="128" t="str">
        <f t="shared" si="27"/>
        <v/>
      </c>
      <c r="G347" s="122"/>
      <c r="H347" s="122"/>
      <c r="I347" s="122"/>
      <c r="J347" s="89"/>
      <c r="L347" t="str">
        <f t="shared" si="28"/>
        <v/>
      </c>
      <c r="M347" t="str">
        <f t="shared" si="29"/>
        <v/>
      </c>
    </row>
    <row r="348" spans="1:13">
      <c r="A348" s="81" t="str">
        <f>IF(E348="","",VLOOKUP('OPĆI DIO'!$C$3,'OPĆI DIO'!$L$6:$U$138,10,FALSE))</f>
        <v/>
      </c>
      <c r="B348" s="81" t="str">
        <f>IF(E348="","",VLOOKUP('OPĆI DIO'!$C$3,'OPĆI DIO'!$L$6:$U$138,9,FALSE))</f>
        <v/>
      </c>
      <c r="C348" s="124" t="str">
        <f t="shared" si="25"/>
        <v/>
      </c>
      <c r="D348" s="80" t="str">
        <f t="shared" si="26"/>
        <v/>
      </c>
      <c r="E348" s="89"/>
      <c r="F348" s="128" t="str">
        <f t="shared" si="27"/>
        <v/>
      </c>
      <c r="G348" s="122"/>
      <c r="H348" s="122"/>
      <c r="I348" s="122"/>
      <c r="J348" s="89"/>
      <c r="L348" t="str">
        <f t="shared" si="28"/>
        <v/>
      </c>
      <c r="M348" t="str">
        <f t="shared" si="29"/>
        <v/>
      </c>
    </row>
    <row r="349" spans="1:13">
      <c r="A349" s="81" t="str">
        <f>IF(E349="","",VLOOKUP('OPĆI DIO'!$C$3,'OPĆI DIO'!$L$6:$U$138,10,FALSE))</f>
        <v/>
      </c>
      <c r="B349" s="81" t="str">
        <f>IF(E349="","",VLOOKUP('OPĆI DIO'!$C$3,'OPĆI DIO'!$L$6:$U$138,9,FALSE))</f>
        <v/>
      </c>
      <c r="C349" s="124" t="str">
        <f t="shared" si="25"/>
        <v/>
      </c>
      <c r="D349" s="80" t="str">
        <f t="shared" si="26"/>
        <v/>
      </c>
      <c r="E349" s="89"/>
      <c r="F349" s="128" t="str">
        <f t="shared" si="27"/>
        <v/>
      </c>
      <c r="G349" s="122"/>
      <c r="H349" s="122"/>
      <c r="I349" s="122"/>
      <c r="J349" s="89"/>
      <c r="L349" t="str">
        <f t="shared" si="28"/>
        <v/>
      </c>
      <c r="M349" t="str">
        <f t="shared" si="29"/>
        <v/>
      </c>
    </row>
    <row r="350" spans="1:13">
      <c r="A350" s="81" t="str">
        <f>IF(E350="","",VLOOKUP('OPĆI DIO'!$C$3,'OPĆI DIO'!$L$6:$U$138,10,FALSE))</f>
        <v/>
      </c>
      <c r="B350" s="81" t="str">
        <f>IF(E350="","",VLOOKUP('OPĆI DIO'!$C$3,'OPĆI DIO'!$L$6:$U$138,9,FALSE))</f>
        <v/>
      </c>
      <c r="C350" s="124" t="str">
        <f t="shared" si="25"/>
        <v/>
      </c>
      <c r="D350" s="80" t="str">
        <f t="shared" si="26"/>
        <v/>
      </c>
      <c r="E350" s="89"/>
      <c r="F350" s="128" t="str">
        <f t="shared" si="27"/>
        <v/>
      </c>
      <c r="G350" s="122"/>
      <c r="H350" s="122"/>
      <c r="I350" s="122"/>
      <c r="J350" s="89"/>
      <c r="L350" t="str">
        <f t="shared" si="28"/>
        <v/>
      </c>
      <c r="M350" t="str">
        <f t="shared" si="29"/>
        <v/>
      </c>
    </row>
    <row r="351" spans="1:13">
      <c r="A351" s="81" t="str">
        <f>IF(E351="","",VLOOKUP('OPĆI DIO'!$C$3,'OPĆI DIO'!$L$6:$U$138,10,FALSE))</f>
        <v/>
      </c>
      <c r="B351" s="81" t="str">
        <f>IF(E351="","",VLOOKUP('OPĆI DIO'!$C$3,'OPĆI DIO'!$L$6:$U$138,9,FALSE))</f>
        <v/>
      </c>
      <c r="C351" s="124" t="str">
        <f t="shared" si="25"/>
        <v/>
      </c>
      <c r="D351" s="80" t="str">
        <f t="shared" si="26"/>
        <v/>
      </c>
      <c r="E351" s="89"/>
      <c r="F351" s="128" t="str">
        <f t="shared" si="27"/>
        <v/>
      </c>
      <c r="G351" s="122"/>
      <c r="H351" s="122"/>
      <c r="I351" s="122"/>
      <c r="J351" s="89"/>
      <c r="L351" t="str">
        <f t="shared" si="28"/>
        <v/>
      </c>
      <c r="M351" t="str">
        <f t="shared" si="29"/>
        <v/>
      </c>
    </row>
    <row r="352" spans="1:13">
      <c r="A352" s="81" t="str">
        <f>IF(E352="","",VLOOKUP('OPĆI DIO'!$C$3,'OPĆI DIO'!$L$6:$U$138,10,FALSE))</f>
        <v/>
      </c>
      <c r="B352" s="81" t="str">
        <f>IF(E352="","",VLOOKUP('OPĆI DIO'!$C$3,'OPĆI DIO'!$L$6:$U$138,9,FALSE))</f>
        <v/>
      </c>
      <c r="C352" s="124" t="str">
        <f t="shared" si="25"/>
        <v/>
      </c>
      <c r="D352" s="80" t="str">
        <f t="shared" si="26"/>
        <v/>
      </c>
      <c r="E352" s="89"/>
      <c r="F352" s="128" t="str">
        <f t="shared" si="27"/>
        <v/>
      </c>
      <c r="G352" s="122"/>
      <c r="H352" s="122"/>
      <c r="I352" s="122"/>
      <c r="J352" s="89"/>
      <c r="L352" t="str">
        <f t="shared" si="28"/>
        <v/>
      </c>
      <c r="M352" t="str">
        <f t="shared" si="29"/>
        <v/>
      </c>
    </row>
    <row r="353" spans="1:13">
      <c r="A353" s="81" t="str">
        <f>IF(E353="","",VLOOKUP('OPĆI DIO'!$C$3,'OPĆI DIO'!$L$6:$U$138,10,FALSE))</f>
        <v/>
      </c>
      <c r="B353" s="81" t="str">
        <f>IF(E353="","",VLOOKUP('OPĆI DIO'!$C$3,'OPĆI DIO'!$L$6:$U$138,9,FALSE))</f>
        <v/>
      </c>
      <c r="C353" s="124" t="str">
        <f t="shared" si="25"/>
        <v/>
      </c>
      <c r="D353" s="80" t="str">
        <f t="shared" si="26"/>
        <v/>
      </c>
      <c r="E353" s="89"/>
      <c r="F353" s="128" t="str">
        <f t="shared" si="27"/>
        <v/>
      </c>
      <c r="G353" s="122"/>
      <c r="H353" s="122"/>
      <c r="I353" s="122"/>
      <c r="J353" s="89"/>
      <c r="L353" t="str">
        <f t="shared" si="28"/>
        <v/>
      </c>
      <c r="M353" t="str">
        <f t="shared" si="29"/>
        <v/>
      </c>
    </row>
    <row r="354" spans="1:13">
      <c r="A354" s="81" t="str">
        <f>IF(E354="","",VLOOKUP('OPĆI DIO'!$C$3,'OPĆI DIO'!$L$6:$U$138,10,FALSE))</f>
        <v/>
      </c>
      <c r="B354" s="81" t="str">
        <f>IF(E354="","",VLOOKUP('OPĆI DIO'!$C$3,'OPĆI DIO'!$L$6:$U$138,9,FALSE))</f>
        <v/>
      </c>
      <c r="C354" s="124" t="str">
        <f t="shared" si="25"/>
        <v/>
      </c>
      <c r="D354" s="80" t="str">
        <f t="shared" si="26"/>
        <v/>
      </c>
      <c r="E354" s="89"/>
      <c r="F354" s="128" t="str">
        <f t="shared" si="27"/>
        <v/>
      </c>
      <c r="G354" s="122"/>
      <c r="H354" s="122"/>
      <c r="I354" s="122"/>
      <c r="J354" s="89"/>
      <c r="L354" t="str">
        <f t="shared" si="28"/>
        <v/>
      </c>
      <c r="M354" t="str">
        <f t="shared" si="29"/>
        <v/>
      </c>
    </row>
    <row r="355" spans="1:13">
      <c r="A355" s="81" t="str">
        <f>IF(E355="","",VLOOKUP('OPĆI DIO'!$C$3,'OPĆI DIO'!$L$6:$U$138,10,FALSE))</f>
        <v/>
      </c>
      <c r="B355" s="81" t="str">
        <f>IF(E355="","",VLOOKUP('OPĆI DIO'!$C$3,'OPĆI DIO'!$L$6:$U$138,9,FALSE))</f>
        <v/>
      </c>
      <c r="C355" s="124" t="str">
        <f t="shared" si="25"/>
        <v/>
      </c>
      <c r="D355" s="80" t="str">
        <f t="shared" si="26"/>
        <v/>
      </c>
      <c r="E355" s="89"/>
      <c r="F355" s="128" t="str">
        <f t="shared" si="27"/>
        <v/>
      </c>
      <c r="G355" s="122"/>
      <c r="H355" s="122"/>
      <c r="I355" s="122"/>
      <c r="J355" s="89"/>
      <c r="L355" t="str">
        <f t="shared" si="28"/>
        <v/>
      </c>
      <c r="M355" t="str">
        <f t="shared" si="29"/>
        <v/>
      </c>
    </row>
    <row r="356" spans="1:13">
      <c r="A356" s="81" t="str">
        <f>IF(E356="","",VLOOKUP('OPĆI DIO'!$C$3,'OPĆI DIO'!$L$6:$U$138,10,FALSE))</f>
        <v/>
      </c>
      <c r="B356" s="81" t="str">
        <f>IF(E356="","",VLOOKUP('OPĆI DIO'!$C$3,'OPĆI DIO'!$L$6:$U$138,9,FALSE))</f>
        <v/>
      </c>
      <c r="C356" s="124" t="str">
        <f t="shared" si="25"/>
        <v/>
      </c>
      <c r="D356" s="80" t="str">
        <f t="shared" si="26"/>
        <v/>
      </c>
      <c r="E356" s="89"/>
      <c r="F356" s="128" t="str">
        <f t="shared" si="27"/>
        <v/>
      </c>
      <c r="G356" s="122"/>
      <c r="H356" s="122"/>
      <c r="I356" s="122"/>
      <c r="J356" s="89"/>
      <c r="L356" t="str">
        <f t="shared" si="28"/>
        <v/>
      </c>
      <c r="M356" t="str">
        <f t="shared" si="29"/>
        <v/>
      </c>
    </row>
    <row r="357" spans="1:13">
      <c r="A357" s="81" t="str">
        <f>IF(E357="","",VLOOKUP('OPĆI DIO'!$C$3,'OPĆI DIO'!$L$6:$U$138,10,FALSE))</f>
        <v/>
      </c>
      <c r="B357" s="81" t="str">
        <f>IF(E357="","",VLOOKUP('OPĆI DIO'!$C$3,'OPĆI DIO'!$L$6:$U$138,9,FALSE))</f>
        <v/>
      </c>
      <c r="C357" s="124" t="str">
        <f t="shared" si="25"/>
        <v/>
      </c>
      <c r="D357" s="80" t="str">
        <f t="shared" si="26"/>
        <v/>
      </c>
      <c r="E357" s="89"/>
      <c r="F357" s="128" t="str">
        <f t="shared" si="27"/>
        <v/>
      </c>
      <c r="G357" s="122"/>
      <c r="H357" s="122"/>
      <c r="I357" s="122"/>
      <c r="J357" s="89"/>
      <c r="L357" t="str">
        <f t="shared" si="28"/>
        <v/>
      </c>
      <c r="M357" t="str">
        <f t="shared" si="29"/>
        <v/>
      </c>
    </row>
    <row r="358" spans="1:13">
      <c r="A358" s="81" t="str">
        <f>IF(E358="","",VLOOKUP('OPĆI DIO'!$C$3,'OPĆI DIO'!$L$6:$U$138,10,FALSE))</f>
        <v/>
      </c>
      <c r="B358" s="81" t="str">
        <f>IF(E358="","",VLOOKUP('OPĆI DIO'!$C$3,'OPĆI DIO'!$L$6:$U$138,9,FALSE))</f>
        <v/>
      </c>
      <c r="C358" s="124" t="str">
        <f t="shared" si="25"/>
        <v/>
      </c>
      <c r="D358" s="80" t="str">
        <f t="shared" si="26"/>
        <v/>
      </c>
      <c r="E358" s="89"/>
      <c r="F358" s="128" t="str">
        <f t="shared" si="27"/>
        <v/>
      </c>
      <c r="G358" s="122"/>
      <c r="H358" s="122"/>
      <c r="I358" s="122"/>
      <c r="J358" s="89"/>
      <c r="L358" t="str">
        <f t="shared" si="28"/>
        <v/>
      </c>
      <c r="M358" t="str">
        <f t="shared" si="29"/>
        <v/>
      </c>
    </row>
    <row r="359" spans="1:13">
      <c r="A359" s="81" t="str">
        <f>IF(E359="","",VLOOKUP('OPĆI DIO'!$C$3,'OPĆI DIO'!$L$6:$U$138,10,FALSE))</f>
        <v/>
      </c>
      <c r="B359" s="81" t="str">
        <f>IF(E359="","",VLOOKUP('OPĆI DIO'!$C$3,'OPĆI DIO'!$L$6:$U$138,9,FALSE))</f>
        <v/>
      </c>
      <c r="C359" s="124" t="str">
        <f t="shared" si="25"/>
        <v/>
      </c>
      <c r="D359" s="80" t="str">
        <f t="shared" si="26"/>
        <v/>
      </c>
      <c r="E359" s="89"/>
      <c r="F359" s="128" t="str">
        <f t="shared" si="27"/>
        <v/>
      </c>
      <c r="G359" s="122"/>
      <c r="H359" s="122"/>
      <c r="I359" s="122"/>
      <c r="J359" s="89"/>
      <c r="L359" t="str">
        <f t="shared" si="28"/>
        <v/>
      </c>
      <c r="M359" t="str">
        <f t="shared" si="29"/>
        <v/>
      </c>
    </row>
    <row r="360" spans="1:13">
      <c r="A360" s="81" t="str">
        <f>IF(E360="","",VLOOKUP('OPĆI DIO'!$C$3,'OPĆI DIO'!$L$6:$U$138,10,FALSE))</f>
        <v/>
      </c>
      <c r="B360" s="81" t="str">
        <f>IF(E360="","",VLOOKUP('OPĆI DIO'!$C$3,'OPĆI DIO'!$L$6:$U$138,9,FALSE))</f>
        <v/>
      </c>
      <c r="C360" s="124" t="str">
        <f t="shared" si="25"/>
        <v/>
      </c>
      <c r="D360" s="80" t="str">
        <f t="shared" si="26"/>
        <v/>
      </c>
      <c r="E360" s="89"/>
      <c r="F360" s="128" t="str">
        <f t="shared" si="27"/>
        <v/>
      </c>
      <c r="G360" s="122"/>
      <c r="H360" s="122"/>
      <c r="I360" s="122"/>
      <c r="J360" s="89"/>
      <c r="L360" t="str">
        <f t="shared" si="28"/>
        <v/>
      </c>
      <c r="M360" t="str">
        <f t="shared" si="29"/>
        <v/>
      </c>
    </row>
    <row r="361" spans="1:13">
      <c r="A361" s="81" t="str">
        <f>IF(E361="","",VLOOKUP('OPĆI DIO'!$C$3,'OPĆI DIO'!$L$6:$U$138,10,FALSE))</f>
        <v/>
      </c>
      <c r="B361" s="81" t="str">
        <f>IF(E361="","",VLOOKUP('OPĆI DIO'!$C$3,'OPĆI DIO'!$L$6:$U$138,9,FALSE))</f>
        <v/>
      </c>
      <c r="C361" s="124" t="str">
        <f t="shared" si="25"/>
        <v/>
      </c>
      <c r="D361" s="80" t="str">
        <f t="shared" si="26"/>
        <v/>
      </c>
      <c r="E361" s="89"/>
      <c r="F361" s="128" t="str">
        <f t="shared" si="27"/>
        <v/>
      </c>
      <c r="G361" s="122"/>
      <c r="H361" s="122"/>
      <c r="I361" s="122"/>
      <c r="J361" s="89"/>
      <c r="L361" t="str">
        <f t="shared" si="28"/>
        <v/>
      </c>
      <c r="M361" t="str">
        <f t="shared" si="29"/>
        <v/>
      </c>
    </row>
    <row r="362" spans="1:13">
      <c r="A362" s="81" t="str">
        <f>IF(E362="","",VLOOKUP('OPĆI DIO'!$C$3,'OPĆI DIO'!$L$6:$U$138,10,FALSE))</f>
        <v/>
      </c>
      <c r="B362" s="81" t="str">
        <f>IF(E362="","",VLOOKUP('OPĆI DIO'!$C$3,'OPĆI DIO'!$L$6:$U$138,9,FALSE))</f>
        <v/>
      </c>
      <c r="C362" s="124" t="str">
        <f t="shared" si="25"/>
        <v/>
      </c>
      <c r="D362" s="80" t="str">
        <f t="shared" si="26"/>
        <v/>
      </c>
      <c r="E362" s="89"/>
      <c r="F362" s="128" t="str">
        <f t="shared" si="27"/>
        <v/>
      </c>
      <c r="G362" s="122"/>
      <c r="H362" s="122"/>
      <c r="I362" s="122"/>
      <c r="J362" s="89"/>
      <c r="L362" t="str">
        <f t="shared" si="28"/>
        <v/>
      </c>
      <c r="M362" t="str">
        <f t="shared" si="29"/>
        <v/>
      </c>
    </row>
    <row r="363" spans="1:13">
      <c r="A363" s="81" t="str">
        <f>IF(E363="","",VLOOKUP('OPĆI DIO'!$C$3,'OPĆI DIO'!$L$6:$U$138,10,FALSE))</f>
        <v/>
      </c>
      <c r="B363" s="81" t="str">
        <f>IF(E363="","",VLOOKUP('OPĆI DIO'!$C$3,'OPĆI DIO'!$L$6:$U$138,9,FALSE))</f>
        <v/>
      </c>
      <c r="C363" s="124" t="str">
        <f t="shared" si="25"/>
        <v/>
      </c>
      <c r="D363" s="80" t="str">
        <f t="shared" si="26"/>
        <v/>
      </c>
      <c r="E363" s="89"/>
      <c r="F363" s="128" t="str">
        <f t="shared" si="27"/>
        <v/>
      </c>
      <c r="G363" s="122"/>
      <c r="H363" s="122"/>
      <c r="I363" s="122"/>
      <c r="J363" s="89"/>
      <c r="L363" t="str">
        <f t="shared" si="28"/>
        <v/>
      </c>
      <c r="M363" t="str">
        <f t="shared" si="29"/>
        <v/>
      </c>
    </row>
    <row r="364" spans="1:13">
      <c r="A364" s="81" t="str">
        <f>IF(E364="","",VLOOKUP('OPĆI DIO'!$C$3,'OPĆI DIO'!$L$6:$U$138,10,FALSE))</f>
        <v/>
      </c>
      <c r="B364" s="81" t="str">
        <f>IF(E364="","",VLOOKUP('OPĆI DIO'!$C$3,'OPĆI DIO'!$L$6:$U$138,9,FALSE))</f>
        <v/>
      </c>
      <c r="C364" s="124" t="str">
        <f t="shared" si="25"/>
        <v/>
      </c>
      <c r="D364" s="80" t="str">
        <f t="shared" si="26"/>
        <v/>
      </c>
      <c r="E364" s="89"/>
      <c r="F364" s="128" t="str">
        <f t="shared" si="27"/>
        <v/>
      </c>
      <c r="G364" s="122"/>
      <c r="H364" s="122"/>
      <c r="I364" s="122"/>
      <c r="J364" s="89"/>
      <c r="L364" t="str">
        <f t="shared" si="28"/>
        <v/>
      </c>
      <c r="M364" t="str">
        <f t="shared" si="29"/>
        <v/>
      </c>
    </row>
    <row r="365" spans="1:13">
      <c r="A365" s="81" t="str">
        <f>IF(E365="","",VLOOKUP('OPĆI DIO'!$C$3,'OPĆI DIO'!$L$6:$U$138,10,FALSE))</f>
        <v/>
      </c>
      <c r="B365" s="81" t="str">
        <f>IF(E365="","",VLOOKUP('OPĆI DIO'!$C$3,'OPĆI DIO'!$L$6:$U$138,9,FALSE))</f>
        <v/>
      </c>
      <c r="C365" s="124" t="str">
        <f t="shared" si="25"/>
        <v/>
      </c>
      <c r="D365" s="80" t="str">
        <f t="shared" si="26"/>
        <v/>
      </c>
      <c r="E365" s="89"/>
      <c r="F365" s="128" t="str">
        <f t="shared" si="27"/>
        <v/>
      </c>
      <c r="G365" s="122"/>
      <c r="H365" s="122"/>
      <c r="I365" s="122"/>
      <c r="J365" s="89"/>
      <c r="L365" t="str">
        <f t="shared" si="28"/>
        <v/>
      </c>
      <c r="M365" t="str">
        <f t="shared" si="29"/>
        <v/>
      </c>
    </row>
    <row r="366" spans="1:13">
      <c r="A366" s="81" t="str">
        <f>IF(E366="","",VLOOKUP('OPĆI DIO'!$C$3,'OPĆI DIO'!$L$6:$U$138,10,FALSE))</f>
        <v/>
      </c>
      <c r="B366" s="81" t="str">
        <f>IF(E366="","",VLOOKUP('OPĆI DIO'!$C$3,'OPĆI DIO'!$L$6:$U$138,9,FALSE))</f>
        <v/>
      </c>
      <c r="C366" s="124" t="str">
        <f t="shared" si="25"/>
        <v/>
      </c>
      <c r="D366" s="80" t="str">
        <f t="shared" si="26"/>
        <v/>
      </c>
      <c r="E366" s="89"/>
      <c r="F366" s="128" t="str">
        <f t="shared" si="27"/>
        <v/>
      </c>
      <c r="G366" s="122"/>
      <c r="H366" s="122"/>
      <c r="I366" s="122"/>
      <c r="J366" s="89"/>
      <c r="L366" t="str">
        <f t="shared" si="28"/>
        <v/>
      </c>
      <c r="M366" t="str">
        <f t="shared" si="29"/>
        <v/>
      </c>
    </row>
    <row r="367" spans="1:13">
      <c r="A367" s="81" t="str">
        <f>IF(E367="","",VLOOKUP('OPĆI DIO'!$C$3,'OPĆI DIO'!$L$6:$U$138,10,FALSE))</f>
        <v/>
      </c>
      <c r="B367" s="81" t="str">
        <f>IF(E367="","",VLOOKUP('OPĆI DIO'!$C$3,'OPĆI DIO'!$L$6:$U$138,9,FALSE))</f>
        <v/>
      </c>
      <c r="C367" s="124" t="str">
        <f t="shared" si="25"/>
        <v/>
      </c>
      <c r="D367" s="80" t="str">
        <f t="shared" si="26"/>
        <v/>
      </c>
      <c r="E367" s="89"/>
      <c r="F367" s="128" t="str">
        <f t="shared" si="27"/>
        <v/>
      </c>
      <c r="G367" s="122"/>
      <c r="H367" s="122"/>
      <c r="I367" s="122"/>
      <c r="J367" s="89"/>
      <c r="L367" t="str">
        <f t="shared" si="28"/>
        <v/>
      </c>
      <c r="M367" t="str">
        <f t="shared" si="29"/>
        <v/>
      </c>
    </row>
    <row r="368" spans="1:13">
      <c r="A368" s="81" t="str">
        <f>IF(E368="","",VLOOKUP('OPĆI DIO'!$C$3,'OPĆI DIO'!$L$6:$U$138,10,FALSE))</f>
        <v/>
      </c>
      <c r="B368" s="81" t="str">
        <f>IF(E368="","",VLOOKUP('OPĆI DIO'!$C$3,'OPĆI DIO'!$L$6:$U$138,9,FALSE))</f>
        <v/>
      </c>
      <c r="C368" s="124" t="str">
        <f t="shared" si="25"/>
        <v/>
      </c>
      <c r="D368" s="80" t="str">
        <f t="shared" si="26"/>
        <v/>
      </c>
      <c r="E368" s="89"/>
      <c r="F368" s="128" t="str">
        <f t="shared" si="27"/>
        <v/>
      </c>
      <c r="G368" s="122"/>
      <c r="H368" s="122"/>
      <c r="I368" s="122"/>
      <c r="J368" s="89"/>
      <c r="L368" t="str">
        <f t="shared" si="28"/>
        <v/>
      </c>
      <c r="M368" t="str">
        <f t="shared" si="29"/>
        <v/>
      </c>
    </row>
    <row r="369" spans="1:13">
      <c r="A369" s="81" t="str">
        <f>IF(E369="","",VLOOKUP('OPĆI DIO'!$C$3,'OPĆI DIO'!$L$6:$U$138,10,FALSE))</f>
        <v/>
      </c>
      <c r="B369" s="81" t="str">
        <f>IF(E369="","",VLOOKUP('OPĆI DIO'!$C$3,'OPĆI DIO'!$L$6:$U$138,9,FALSE))</f>
        <v/>
      </c>
      <c r="C369" s="124" t="str">
        <f t="shared" si="25"/>
        <v/>
      </c>
      <c r="D369" s="80" t="str">
        <f t="shared" si="26"/>
        <v/>
      </c>
      <c r="E369" s="89"/>
      <c r="F369" s="128" t="str">
        <f t="shared" si="27"/>
        <v/>
      </c>
      <c r="G369" s="122"/>
      <c r="H369" s="122"/>
      <c r="I369" s="122"/>
      <c r="J369" s="89"/>
      <c r="L369" t="str">
        <f t="shared" si="28"/>
        <v/>
      </c>
      <c r="M369" t="str">
        <f t="shared" si="29"/>
        <v/>
      </c>
    </row>
    <row r="370" spans="1:13">
      <c r="A370" s="81" t="str">
        <f>IF(E370="","",VLOOKUP('OPĆI DIO'!$C$3,'OPĆI DIO'!$L$6:$U$138,10,FALSE))</f>
        <v/>
      </c>
      <c r="B370" s="81" t="str">
        <f>IF(E370="","",VLOOKUP('OPĆI DIO'!$C$3,'OPĆI DIO'!$L$6:$U$138,9,FALSE))</f>
        <v/>
      </c>
      <c r="C370" s="124" t="str">
        <f t="shared" si="25"/>
        <v/>
      </c>
      <c r="D370" s="80" t="str">
        <f t="shared" si="26"/>
        <v/>
      </c>
      <c r="E370" s="89"/>
      <c r="F370" s="128" t="str">
        <f t="shared" si="27"/>
        <v/>
      </c>
      <c r="G370" s="122"/>
      <c r="H370" s="122"/>
      <c r="I370" s="122"/>
      <c r="J370" s="89"/>
      <c r="L370" t="str">
        <f t="shared" si="28"/>
        <v/>
      </c>
      <c r="M370" t="str">
        <f t="shared" si="29"/>
        <v/>
      </c>
    </row>
    <row r="371" spans="1:13">
      <c r="A371" s="81" t="str">
        <f>IF(E371="","",VLOOKUP('OPĆI DIO'!$C$3,'OPĆI DIO'!$L$6:$U$138,10,FALSE))</f>
        <v/>
      </c>
      <c r="B371" s="81" t="str">
        <f>IF(E371="","",VLOOKUP('OPĆI DIO'!$C$3,'OPĆI DIO'!$L$6:$U$138,9,FALSE))</f>
        <v/>
      </c>
      <c r="C371" s="124" t="str">
        <f t="shared" si="25"/>
        <v/>
      </c>
      <c r="D371" s="80" t="str">
        <f t="shared" si="26"/>
        <v/>
      </c>
      <c r="E371" s="89"/>
      <c r="F371" s="128" t="str">
        <f t="shared" si="27"/>
        <v/>
      </c>
      <c r="G371" s="122"/>
      <c r="H371" s="122"/>
      <c r="I371" s="122"/>
      <c r="J371" s="89"/>
      <c r="L371" t="str">
        <f t="shared" si="28"/>
        <v/>
      </c>
      <c r="M371" t="str">
        <f t="shared" si="29"/>
        <v/>
      </c>
    </row>
    <row r="372" spans="1:13">
      <c r="A372" s="81" t="str">
        <f>IF(E372="","",VLOOKUP('OPĆI DIO'!$C$3,'OPĆI DIO'!$L$6:$U$138,10,FALSE))</f>
        <v/>
      </c>
      <c r="B372" s="81" t="str">
        <f>IF(E372="","",VLOOKUP('OPĆI DIO'!$C$3,'OPĆI DIO'!$L$6:$U$138,9,FALSE))</f>
        <v/>
      </c>
      <c r="C372" s="124" t="str">
        <f t="shared" si="25"/>
        <v/>
      </c>
      <c r="D372" s="80" t="str">
        <f t="shared" si="26"/>
        <v/>
      </c>
      <c r="E372" s="89"/>
      <c r="F372" s="128" t="str">
        <f t="shared" si="27"/>
        <v/>
      </c>
      <c r="G372" s="122"/>
      <c r="H372" s="122"/>
      <c r="I372" s="122"/>
      <c r="J372" s="89"/>
      <c r="L372" t="str">
        <f t="shared" si="28"/>
        <v/>
      </c>
      <c r="M372" t="str">
        <f t="shared" si="29"/>
        <v/>
      </c>
    </row>
    <row r="373" spans="1:13">
      <c r="A373" s="81" t="str">
        <f>IF(E373="","",VLOOKUP('OPĆI DIO'!$C$3,'OPĆI DIO'!$L$6:$U$138,10,FALSE))</f>
        <v/>
      </c>
      <c r="B373" s="81" t="str">
        <f>IF(E373="","",VLOOKUP('OPĆI DIO'!$C$3,'OPĆI DIO'!$L$6:$U$138,9,FALSE))</f>
        <v/>
      </c>
      <c r="C373" s="124" t="str">
        <f t="shared" si="25"/>
        <v/>
      </c>
      <c r="D373" s="80" t="str">
        <f t="shared" si="26"/>
        <v/>
      </c>
      <c r="E373" s="89"/>
      <c r="F373" s="128" t="str">
        <f t="shared" si="27"/>
        <v/>
      </c>
      <c r="G373" s="122"/>
      <c r="H373" s="122"/>
      <c r="I373" s="122"/>
      <c r="J373" s="89"/>
      <c r="L373" t="str">
        <f t="shared" si="28"/>
        <v/>
      </c>
      <c r="M373" t="str">
        <f t="shared" si="29"/>
        <v/>
      </c>
    </row>
    <row r="374" spans="1:13">
      <c r="A374" s="81" t="str">
        <f>IF(E374="","",VLOOKUP('OPĆI DIO'!$C$3,'OPĆI DIO'!$L$6:$U$138,10,FALSE))</f>
        <v/>
      </c>
      <c r="B374" s="81" t="str">
        <f>IF(E374="","",VLOOKUP('OPĆI DIO'!$C$3,'OPĆI DIO'!$L$6:$U$138,9,FALSE))</f>
        <v/>
      </c>
      <c r="C374" s="124" t="str">
        <f t="shared" si="25"/>
        <v/>
      </c>
      <c r="D374" s="80" t="str">
        <f t="shared" si="26"/>
        <v/>
      </c>
      <c r="E374" s="89"/>
      <c r="F374" s="128" t="str">
        <f t="shared" si="27"/>
        <v/>
      </c>
      <c r="G374" s="122"/>
      <c r="H374" s="122"/>
      <c r="I374" s="122"/>
      <c r="J374" s="89"/>
      <c r="L374" t="str">
        <f t="shared" si="28"/>
        <v/>
      </c>
      <c r="M374" t="str">
        <f t="shared" si="29"/>
        <v/>
      </c>
    </row>
    <row r="375" spans="1:13">
      <c r="A375" s="81" t="str">
        <f>IF(E375="","",VLOOKUP('OPĆI DIO'!$C$3,'OPĆI DIO'!$L$6:$U$138,10,FALSE))</f>
        <v/>
      </c>
      <c r="B375" s="81" t="str">
        <f>IF(E375="","",VLOOKUP('OPĆI DIO'!$C$3,'OPĆI DIO'!$L$6:$U$138,9,FALSE))</f>
        <v/>
      </c>
      <c r="C375" s="124" t="str">
        <f t="shared" si="25"/>
        <v/>
      </c>
      <c r="D375" s="80" t="str">
        <f t="shared" si="26"/>
        <v/>
      </c>
      <c r="E375" s="89"/>
      <c r="F375" s="128" t="str">
        <f t="shared" si="27"/>
        <v/>
      </c>
      <c r="G375" s="122"/>
      <c r="H375" s="122"/>
      <c r="I375" s="122"/>
      <c r="J375" s="89"/>
      <c r="L375" t="str">
        <f t="shared" si="28"/>
        <v/>
      </c>
      <c r="M375" t="str">
        <f t="shared" si="29"/>
        <v/>
      </c>
    </row>
    <row r="376" spans="1:13">
      <c r="A376" s="81" t="str">
        <f>IF(E376="","",VLOOKUP('OPĆI DIO'!$C$3,'OPĆI DIO'!$L$6:$U$138,10,FALSE))</f>
        <v/>
      </c>
      <c r="B376" s="81" t="str">
        <f>IF(E376="","",VLOOKUP('OPĆI DIO'!$C$3,'OPĆI DIO'!$L$6:$U$138,9,FALSE))</f>
        <v/>
      </c>
      <c r="C376" s="124" t="str">
        <f t="shared" si="25"/>
        <v/>
      </c>
      <c r="D376" s="80" t="str">
        <f t="shared" si="26"/>
        <v/>
      </c>
      <c r="E376" s="89"/>
      <c r="F376" s="128" t="str">
        <f t="shared" si="27"/>
        <v/>
      </c>
      <c r="G376" s="122"/>
      <c r="H376" s="122"/>
      <c r="I376" s="122"/>
      <c r="J376" s="89"/>
      <c r="L376" t="str">
        <f t="shared" si="28"/>
        <v/>
      </c>
      <c r="M376" t="str">
        <f t="shared" si="29"/>
        <v/>
      </c>
    </row>
    <row r="377" spans="1:13">
      <c r="A377" s="81" t="str">
        <f>IF(E377="","",VLOOKUP('OPĆI DIO'!$C$3,'OPĆI DIO'!$L$6:$U$138,10,FALSE))</f>
        <v/>
      </c>
      <c r="B377" s="81" t="str">
        <f>IF(E377="","",VLOOKUP('OPĆI DIO'!$C$3,'OPĆI DIO'!$L$6:$U$138,9,FALSE))</f>
        <v/>
      </c>
      <c r="C377" s="124" t="str">
        <f t="shared" si="25"/>
        <v/>
      </c>
      <c r="D377" s="80" t="str">
        <f t="shared" si="26"/>
        <v/>
      </c>
      <c r="E377" s="89"/>
      <c r="F377" s="128" t="str">
        <f t="shared" si="27"/>
        <v/>
      </c>
      <c r="G377" s="122"/>
      <c r="H377" s="122"/>
      <c r="I377" s="122"/>
      <c r="J377" s="89"/>
      <c r="L377" t="str">
        <f t="shared" si="28"/>
        <v/>
      </c>
      <c r="M377" t="str">
        <f t="shared" si="29"/>
        <v/>
      </c>
    </row>
    <row r="378" spans="1:13">
      <c r="A378" s="81" t="str">
        <f>IF(E378="","",VLOOKUP('OPĆI DIO'!$C$3,'OPĆI DIO'!$L$6:$U$138,10,FALSE))</f>
        <v/>
      </c>
      <c r="B378" s="81" t="str">
        <f>IF(E378="","",VLOOKUP('OPĆI DIO'!$C$3,'OPĆI DIO'!$L$6:$U$138,9,FALSE))</f>
        <v/>
      </c>
      <c r="C378" s="124" t="str">
        <f t="shared" si="25"/>
        <v/>
      </c>
      <c r="D378" s="80" t="str">
        <f t="shared" si="26"/>
        <v/>
      </c>
      <c r="E378" s="89"/>
      <c r="F378" s="128" t="str">
        <f t="shared" si="27"/>
        <v/>
      </c>
      <c r="G378" s="122"/>
      <c r="H378" s="122"/>
      <c r="I378" s="122"/>
      <c r="J378" s="89"/>
      <c r="L378" t="str">
        <f t="shared" si="28"/>
        <v/>
      </c>
      <c r="M378" t="str">
        <f t="shared" si="29"/>
        <v/>
      </c>
    </row>
    <row r="379" spans="1:13">
      <c r="A379" s="81" t="str">
        <f>IF(E379="","",VLOOKUP('OPĆI DIO'!$C$3,'OPĆI DIO'!$L$6:$U$138,10,FALSE))</f>
        <v/>
      </c>
      <c r="B379" s="81" t="str">
        <f>IF(E379="","",VLOOKUP('OPĆI DIO'!$C$3,'OPĆI DIO'!$L$6:$U$138,9,FALSE))</f>
        <v/>
      </c>
      <c r="C379" s="124" t="str">
        <f t="shared" si="25"/>
        <v/>
      </c>
      <c r="D379" s="80" t="str">
        <f t="shared" si="26"/>
        <v/>
      </c>
      <c r="E379" s="89"/>
      <c r="F379" s="128" t="str">
        <f t="shared" si="27"/>
        <v/>
      </c>
      <c r="G379" s="122"/>
      <c r="H379" s="122"/>
      <c r="I379" s="122"/>
      <c r="J379" s="89"/>
      <c r="L379" t="str">
        <f t="shared" si="28"/>
        <v/>
      </c>
      <c r="M379" t="str">
        <f t="shared" si="29"/>
        <v/>
      </c>
    </row>
    <row r="380" spans="1:13">
      <c r="A380" s="81" t="str">
        <f>IF(E380="","",VLOOKUP('OPĆI DIO'!$C$3,'OPĆI DIO'!$L$6:$U$138,10,FALSE))</f>
        <v/>
      </c>
      <c r="B380" s="81" t="str">
        <f>IF(E380="","",VLOOKUP('OPĆI DIO'!$C$3,'OPĆI DIO'!$L$6:$U$138,9,FALSE))</f>
        <v/>
      </c>
      <c r="C380" s="124" t="str">
        <f t="shared" si="25"/>
        <v/>
      </c>
      <c r="D380" s="80" t="str">
        <f t="shared" si="26"/>
        <v/>
      </c>
      <c r="E380" s="89"/>
      <c r="F380" s="128" t="str">
        <f t="shared" si="27"/>
        <v/>
      </c>
      <c r="G380" s="122"/>
      <c r="H380" s="122"/>
      <c r="I380" s="122"/>
      <c r="J380" s="89"/>
      <c r="L380" t="str">
        <f t="shared" si="28"/>
        <v/>
      </c>
      <c r="M380" t="str">
        <f t="shared" si="29"/>
        <v/>
      </c>
    </row>
    <row r="381" spans="1:13">
      <c r="A381" s="81" t="str">
        <f>IF(E381="","",VLOOKUP('OPĆI DIO'!$C$3,'OPĆI DIO'!$L$6:$U$138,10,FALSE))</f>
        <v/>
      </c>
      <c r="B381" s="81" t="str">
        <f>IF(E381="","",VLOOKUP('OPĆI DIO'!$C$3,'OPĆI DIO'!$L$6:$U$138,9,FALSE))</f>
        <v/>
      </c>
      <c r="C381" s="124" t="str">
        <f t="shared" si="25"/>
        <v/>
      </c>
      <c r="D381" s="80" t="str">
        <f t="shared" si="26"/>
        <v/>
      </c>
      <c r="E381" s="89"/>
      <c r="F381" s="128" t="str">
        <f t="shared" si="27"/>
        <v/>
      </c>
      <c r="G381" s="122"/>
      <c r="H381" s="122"/>
      <c r="I381" s="122"/>
      <c r="J381" s="89"/>
      <c r="L381" t="str">
        <f t="shared" si="28"/>
        <v/>
      </c>
      <c r="M381" t="str">
        <f t="shared" si="29"/>
        <v/>
      </c>
    </row>
    <row r="382" spans="1:13">
      <c r="A382" s="81" t="str">
        <f>IF(E382="","",VLOOKUP('OPĆI DIO'!$C$3,'OPĆI DIO'!$L$6:$U$138,10,FALSE))</f>
        <v/>
      </c>
      <c r="B382" s="81" t="str">
        <f>IF(E382="","",VLOOKUP('OPĆI DIO'!$C$3,'OPĆI DIO'!$L$6:$U$138,9,FALSE))</f>
        <v/>
      </c>
      <c r="C382" s="124" t="str">
        <f t="shared" si="25"/>
        <v/>
      </c>
      <c r="D382" s="80" t="str">
        <f t="shared" si="26"/>
        <v/>
      </c>
      <c r="E382" s="89"/>
      <c r="F382" s="128" t="str">
        <f t="shared" si="27"/>
        <v/>
      </c>
      <c r="G382" s="122"/>
      <c r="H382" s="122"/>
      <c r="I382" s="122"/>
      <c r="J382" s="89"/>
      <c r="L382" t="str">
        <f t="shared" si="28"/>
        <v/>
      </c>
      <c r="M382" t="str">
        <f t="shared" si="29"/>
        <v/>
      </c>
    </row>
    <row r="383" spans="1:13">
      <c r="A383" s="81" t="str">
        <f>IF(E383="","",VLOOKUP('OPĆI DIO'!$C$3,'OPĆI DIO'!$L$6:$U$138,10,FALSE))</f>
        <v/>
      </c>
      <c r="B383" s="81" t="str">
        <f>IF(E383="","",VLOOKUP('OPĆI DIO'!$C$3,'OPĆI DIO'!$L$6:$U$138,9,FALSE))</f>
        <v/>
      </c>
      <c r="C383" s="124" t="str">
        <f t="shared" si="25"/>
        <v/>
      </c>
      <c r="D383" s="80" t="str">
        <f t="shared" si="26"/>
        <v/>
      </c>
      <c r="E383" s="89"/>
      <c r="F383" s="128" t="str">
        <f t="shared" si="27"/>
        <v/>
      </c>
      <c r="G383" s="122"/>
      <c r="H383" s="122"/>
      <c r="I383" s="122"/>
      <c r="J383" s="89"/>
      <c r="L383" t="str">
        <f t="shared" si="28"/>
        <v/>
      </c>
      <c r="M383" t="str">
        <f t="shared" si="29"/>
        <v/>
      </c>
    </row>
    <row r="384" spans="1:13">
      <c r="A384" s="81" t="str">
        <f>IF(E384="","",VLOOKUP('OPĆI DIO'!$C$3,'OPĆI DIO'!$L$6:$U$138,10,FALSE))</f>
        <v/>
      </c>
      <c r="B384" s="81" t="str">
        <f>IF(E384="","",VLOOKUP('OPĆI DIO'!$C$3,'OPĆI DIO'!$L$6:$U$138,9,FALSE))</f>
        <v/>
      </c>
      <c r="C384" s="124" t="str">
        <f t="shared" si="25"/>
        <v/>
      </c>
      <c r="D384" s="80" t="str">
        <f t="shared" si="26"/>
        <v/>
      </c>
      <c r="E384" s="89"/>
      <c r="F384" s="128" t="str">
        <f t="shared" si="27"/>
        <v/>
      </c>
      <c r="G384" s="122"/>
      <c r="H384" s="122"/>
      <c r="I384" s="122"/>
      <c r="J384" s="89"/>
      <c r="L384" t="str">
        <f t="shared" si="28"/>
        <v/>
      </c>
      <c r="M384" t="str">
        <f t="shared" si="29"/>
        <v/>
      </c>
    </row>
    <row r="385" spans="1:13">
      <c r="A385" s="81" t="str">
        <f>IF(E385="","",VLOOKUP('OPĆI DIO'!$C$3,'OPĆI DIO'!$L$6:$U$138,10,FALSE))</f>
        <v/>
      </c>
      <c r="B385" s="81" t="str">
        <f>IF(E385="","",VLOOKUP('OPĆI DIO'!$C$3,'OPĆI DIO'!$L$6:$U$138,9,FALSE))</f>
        <v/>
      </c>
      <c r="C385" s="124" t="str">
        <f t="shared" si="25"/>
        <v/>
      </c>
      <c r="D385" s="80" t="str">
        <f t="shared" si="26"/>
        <v/>
      </c>
      <c r="E385" s="89"/>
      <c r="F385" s="128" t="str">
        <f t="shared" si="27"/>
        <v/>
      </c>
      <c r="G385" s="122"/>
      <c r="H385" s="122"/>
      <c r="I385" s="122"/>
      <c r="J385" s="89"/>
      <c r="L385" t="str">
        <f t="shared" si="28"/>
        <v/>
      </c>
      <c r="M385" t="str">
        <f t="shared" si="29"/>
        <v/>
      </c>
    </row>
    <row r="386" spans="1:13">
      <c r="A386" s="81" t="str">
        <f>IF(E386="","",VLOOKUP('OPĆI DIO'!$C$3,'OPĆI DIO'!$L$6:$U$138,10,FALSE))</f>
        <v/>
      </c>
      <c r="B386" s="81" t="str">
        <f>IF(E386="","",VLOOKUP('OPĆI DIO'!$C$3,'OPĆI DIO'!$L$6:$U$138,9,FALSE))</f>
        <v/>
      </c>
      <c r="C386" s="124" t="str">
        <f t="shared" si="25"/>
        <v/>
      </c>
      <c r="D386" s="80" t="str">
        <f t="shared" si="26"/>
        <v/>
      </c>
      <c r="E386" s="89"/>
      <c r="F386" s="128" t="str">
        <f t="shared" si="27"/>
        <v/>
      </c>
      <c r="G386" s="122"/>
      <c r="H386" s="122"/>
      <c r="I386" s="122"/>
      <c r="J386" s="89"/>
      <c r="L386" t="str">
        <f t="shared" si="28"/>
        <v/>
      </c>
      <c r="M386" t="str">
        <f t="shared" si="29"/>
        <v/>
      </c>
    </row>
    <row r="387" spans="1:13">
      <c r="A387" s="81" t="str">
        <f>IF(E387="","",VLOOKUP('OPĆI DIO'!$C$3,'OPĆI DIO'!$L$6:$U$138,10,FALSE))</f>
        <v/>
      </c>
      <c r="B387" s="81" t="str">
        <f>IF(E387="","",VLOOKUP('OPĆI DIO'!$C$3,'OPĆI DIO'!$L$6:$U$138,9,FALSE))</f>
        <v/>
      </c>
      <c r="C387" s="124" t="str">
        <f t="shared" ref="C387:C450" si="30">IFERROR(VLOOKUP(E387,$R$6:$U$108,3,FALSE),"")</f>
        <v/>
      </c>
      <c r="D387" s="80" t="str">
        <f t="shared" ref="D387:D450" si="31">IFERROR(VLOOKUP(E387,$R$6:$U$108,4,FALSE),"")</f>
        <v/>
      </c>
      <c r="E387" s="89"/>
      <c r="F387" s="128" t="str">
        <f t="shared" ref="F387:F450" si="32">IFERROR(VLOOKUP(E387,$R$6:$U$108,2,FALSE),"")</f>
        <v/>
      </c>
      <c r="G387" s="122"/>
      <c r="H387" s="122"/>
      <c r="I387" s="122"/>
      <c r="J387" s="89"/>
      <c r="L387" t="str">
        <f t="shared" si="28"/>
        <v/>
      </c>
      <c r="M387" t="str">
        <f t="shared" si="29"/>
        <v/>
      </c>
    </row>
    <row r="388" spans="1:13">
      <c r="A388" s="81" t="str">
        <f>IF(E388="","",VLOOKUP('OPĆI DIO'!$C$3,'OPĆI DIO'!$L$6:$U$138,10,FALSE))</f>
        <v/>
      </c>
      <c r="B388" s="81" t="str">
        <f>IF(E388="","",VLOOKUP('OPĆI DIO'!$C$3,'OPĆI DIO'!$L$6:$U$138,9,FALSE))</f>
        <v/>
      </c>
      <c r="C388" s="124" t="str">
        <f t="shared" si="30"/>
        <v/>
      </c>
      <c r="D388" s="80" t="str">
        <f t="shared" si="31"/>
        <v/>
      </c>
      <c r="E388" s="89"/>
      <c r="F388" s="128" t="str">
        <f t="shared" si="32"/>
        <v/>
      </c>
      <c r="G388" s="122"/>
      <c r="H388" s="122"/>
      <c r="I388" s="122"/>
      <c r="J388" s="89"/>
      <c r="L388" t="str">
        <f t="shared" ref="L388:L451" si="33">LEFT(E388,2)</f>
        <v/>
      </c>
      <c r="M388" t="str">
        <f t="shared" ref="M388:M451" si="34">LEFT(E388,3)</f>
        <v/>
      </c>
    </row>
    <row r="389" spans="1:13">
      <c r="A389" s="81" t="str">
        <f>IF(E389="","",VLOOKUP('OPĆI DIO'!$C$3,'OPĆI DIO'!$L$6:$U$138,10,FALSE))</f>
        <v/>
      </c>
      <c r="B389" s="81" t="str">
        <f>IF(E389="","",VLOOKUP('OPĆI DIO'!$C$3,'OPĆI DIO'!$L$6:$U$138,9,FALSE))</f>
        <v/>
      </c>
      <c r="C389" s="124" t="str">
        <f t="shared" si="30"/>
        <v/>
      </c>
      <c r="D389" s="80" t="str">
        <f t="shared" si="31"/>
        <v/>
      </c>
      <c r="E389" s="89"/>
      <c r="F389" s="128" t="str">
        <f t="shared" si="32"/>
        <v/>
      </c>
      <c r="G389" s="122"/>
      <c r="H389" s="122"/>
      <c r="I389" s="122"/>
      <c r="J389" s="89"/>
      <c r="L389" t="str">
        <f t="shared" si="33"/>
        <v/>
      </c>
      <c r="M389" t="str">
        <f t="shared" si="34"/>
        <v/>
      </c>
    </row>
    <row r="390" spans="1:13">
      <c r="A390" s="81" t="str">
        <f>IF(E390="","",VLOOKUP('OPĆI DIO'!$C$3,'OPĆI DIO'!$L$6:$U$138,10,FALSE))</f>
        <v/>
      </c>
      <c r="B390" s="81" t="str">
        <f>IF(E390="","",VLOOKUP('OPĆI DIO'!$C$3,'OPĆI DIO'!$L$6:$U$138,9,FALSE))</f>
        <v/>
      </c>
      <c r="C390" s="124" t="str">
        <f t="shared" si="30"/>
        <v/>
      </c>
      <c r="D390" s="80" t="str">
        <f t="shared" si="31"/>
        <v/>
      </c>
      <c r="E390" s="89"/>
      <c r="F390" s="128" t="str">
        <f t="shared" si="32"/>
        <v/>
      </c>
      <c r="G390" s="122"/>
      <c r="H390" s="122"/>
      <c r="I390" s="122"/>
      <c r="J390" s="89"/>
      <c r="L390" t="str">
        <f t="shared" si="33"/>
        <v/>
      </c>
      <c r="M390" t="str">
        <f t="shared" si="34"/>
        <v/>
      </c>
    </row>
    <row r="391" spans="1:13">
      <c r="A391" s="81" t="str">
        <f>IF(E391="","",VLOOKUP('OPĆI DIO'!$C$3,'OPĆI DIO'!$L$6:$U$138,10,FALSE))</f>
        <v/>
      </c>
      <c r="B391" s="81" t="str">
        <f>IF(E391="","",VLOOKUP('OPĆI DIO'!$C$3,'OPĆI DIO'!$L$6:$U$138,9,FALSE))</f>
        <v/>
      </c>
      <c r="C391" s="124" t="str">
        <f t="shared" si="30"/>
        <v/>
      </c>
      <c r="D391" s="80" t="str">
        <f t="shared" si="31"/>
        <v/>
      </c>
      <c r="E391" s="89"/>
      <c r="F391" s="128" t="str">
        <f t="shared" si="32"/>
        <v/>
      </c>
      <c r="G391" s="122"/>
      <c r="H391" s="122"/>
      <c r="I391" s="122"/>
      <c r="J391" s="89"/>
      <c r="L391" t="str">
        <f t="shared" si="33"/>
        <v/>
      </c>
      <c r="M391" t="str">
        <f t="shared" si="34"/>
        <v/>
      </c>
    </row>
    <row r="392" spans="1:13">
      <c r="A392" s="81" t="str">
        <f>IF(E392="","",VLOOKUP('OPĆI DIO'!$C$3,'OPĆI DIO'!$L$6:$U$138,10,FALSE))</f>
        <v/>
      </c>
      <c r="B392" s="81" t="str">
        <f>IF(E392="","",VLOOKUP('OPĆI DIO'!$C$3,'OPĆI DIO'!$L$6:$U$138,9,FALSE))</f>
        <v/>
      </c>
      <c r="C392" s="124" t="str">
        <f t="shared" si="30"/>
        <v/>
      </c>
      <c r="D392" s="80" t="str">
        <f t="shared" si="31"/>
        <v/>
      </c>
      <c r="E392" s="89"/>
      <c r="F392" s="128" t="str">
        <f t="shared" si="32"/>
        <v/>
      </c>
      <c r="G392" s="122"/>
      <c r="H392" s="122"/>
      <c r="I392" s="122"/>
      <c r="J392" s="89"/>
      <c r="L392" t="str">
        <f t="shared" si="33"/>
        <v/>
      </c>
      <c r="M392" t="str">
        <f t="shared" si="34"/>
        <v/>
      </c>
    </row>
    <row r="393" spans="1:13">
      <c r="A393" s="81" t="str">
        <f>IF(E393="","",VLOOKUP('OPĆI DIO'!$C$3,'OPĆI DIO'!$L$6:$U$138,10,FALSE))</f>
        <v/>
      </c>
      <c r="B393" s="81" t="str">
        <f>IF(E393="","",VLOOKUP('OPĆI DIO'!$C$3,'OPĆI DIO'!$L$6:$U$138,9,FALSE))</f>
        <v/>
      </c>
      <c r="C393" s="124" t="str">
        <f t="shared" si="30"/>
        <v/>
      </c>
      <c r="D393" s="80" t="str">
        <f t="shared" si="31"/>
        <v/>
      </c>
      <c r="E393" s="89"/>
      <c r="F393" s="128" t="str">
        <f t="shared" si="32"/>
        <v/>
      </c>
      <c r="G393" s="122"/>
      <c r="H393" s="122"/>
      <c r="I393" s="122"/>
      <c r="J393" s="89"/>
      <c r="L393" t="str">
        <f t="shared" si="33"/>
        <v/>
      </c>
      <c r="M393" t="str">
        <f t="shared" si="34"/>
        <v/>
      </c>
    </row>
    <row r="394" spans="1:13">
      <c r="A394" s="81" t="str">
        <f>IF(E394="","",VLOOKUP('OPĆI DIO'!$C$3,'OPĆI DIO'!$L$6:$U$138,10,FALSE))</f>
        <v/>
      </c>
      <c r="B394" s="81" t="str">
        <f>IF(E394="","",VLOOKUP('OPĆI DIO'!$C$3,'OPĆI DIO'!$L$6:$U$138,9,FALSE))</f>
        <v/>
      </c>
      <c r="C394" s="124" t="str">
        <f t="shared" si="30"/>
        <v/>
      </c>
      <c r="D394" s="80" t="str">
        <f t="shared" si="31"/>
        <v/>
      </c>
      <c r="E394" s="89"/>
      <c r="F394" s="128" t="str">
        <f t="shared" si="32"/>
        <v/>
      </c>
      <c r="G394" s="122"/>
      <c r="H394" s="122"/>
      <c r="I394" s="122"/>
      <c r="J394" s="89"/>
      <c r="L394" t="str">
        <f t="shared" si="33"/>
        <v/>
      </c>
      <c r="M394" t="str">
        <f t="shared" si="34"/>
        <v/>
      </c>
    </row>
    <row r="395" spans="1:13">
      <c r="A395" s="81" t="str">
        <f>IF(E395="","",VLOOKUP('OPĆI DIO'!$C$3,'OPĆI DIO'!$L$6:$U$138,10,FALSE))</f>
        <v/>
      </c>
      <c r="B395" s="81" t="str">
        <f>IF(E395="","",VLOOKUP('OPĆI DIO'!$C$3,'OPĆI DIO'!$L$6:$U$138,9,FALSE))</f>
        <v/>
      </c>
      <c r="C395" s="124" t="str">
        <f t="shared" si="30"/>
        <v/>
      </c>
      <c r="D395" s="80" t="str">
        <f t="shared" si="31"/>
        <v/>
      </c>
      <c r="E395" s="89"/>
      <c r="F395" s="128" t="str">
        <f t="shared" si="32"/>
        <v/>
      </c>
      <c r="G395" s="122"/>
      <c r="H395" s="122"/>
      <c r="I395" s="122"/>
      <c r="J395" s="89"/>
      <c r="L395" t="str">
        <f t="shared" si="33"/>
        <v/>
      </c>
      <c r="M395" t="str">
        <f t="shared" si="34"/>
        <v/>
      </c>
    </row>
    <row r="396" spans="1:13">
      <c r="A396" s="81" t="str">
        <f>IF(E396="","",VLOOKUP('OPĆI DIO'!$C$3,'OPĆI DIO'!$L$6:$U$138,10,FALSE))</f>
        <v/>
      </c>
      <c r="B396" s="81" t="str">
        <f>IF(E396="","",VLOOKUP('OPĆI DIO'!$C$3,'OPĆI DIO'!$L$6:$U$138,9,FALSE))</f>
        <v/>
      </c>
      <c r="C396" s="124" t="str">
        <f t="shared" si="30"/>
        <v/>
      </c>
      <c r="D396" s="80" t="str">
        <f t="shared" si="31"/>
        <v/>
      </c>
      <c r="E396" s="89"/>
      <c r="F396" s="128" t="str">
        <f t="shared" si="32"/>
        <v/>
      </c>
      <c r="G396" s="122"/>
      <c r="H396" s="122"/>
      <c r="I396" s="122"/>
      <c r="J396" s="89"/>
      <c r="L396" t="str">
        <f t="shared" si="33"/>
        <v/>
      </c>
      <c r="M396" t="str">
        <f t="shared" si="34"/>
        <v/>
      </c>
    </row>
    <row r="397" spans="1:13">
      <c r="A397" s="81" t="str">
        <f>IF(E397="","",VLOOKUP('OPĆI DIO'!$C$3,'OPĆI DIO'!$L$6:$U$138,10,FALSE))</f>
        <v/>
      </c>
      <c r="B397" s="81" t="str">
        <f>IF(E397="","",VLOOKUP('OPĆI DIO'!$C$3,'OPĆI DIO'!$L$6:$U$138,9,FALSE))</f>
        <v/>
      </c>
      <c r="C397" s="124" t="str">
        <f t="shared" si="30"/>
        <v/>
      </c>
      <c r="D397" s="80" t="str">
        <f t="shared" si="31"/>
        <v/>
      </c>
      <c r="E397" s="89"/>
      <c r="F397" s="128" t="str">
        <f t="shared" si="32"/>
        <v/>
      </c>
      <c r="G397" s="122"/>
      <c r="H397" s="122"/>
      <c r="I397" s="122"/>
      <c r="J397" s="89"/>
      <c r="L397" t="str">
        <f t="shared" si="33"/>
        <v/>
      </c>
      <c r="M397" t="str">
        <f t="shared" si="34"/>
        <v/>
      </c>
    </row>
    <row r="398" spans="1:13">
      <c r="A398" s="81" t="str">
        <f>IF(E398="","",VLOOKUP('OPĆI DIO'!$C$3,'OPĆI DIO'!$L$6:$U$138,10,FALSE))</f>
        <v/>
      </c>
      <c r="B398" s="81" t="str">
        <f>IF(E398="","",VLOOKUP('OPĆI DIO'!$C$3,'OPĆI DIO'!$L$6:$U$138,9,FALSE))</f>
        <v/>
      </c>
      <c r="C398" s="124" t="str">
        <f t="shared" si="30"/>
        <v/>
      </c>
      <c r="D398" s="80" t="str">
        <f t="shared" si="31"/>
        <v/>
      </c>
      <c r="E398" s="89"/>
      <c r="F398" s="128" t="str">
        <f t="shared" si="32"/>
        <v/>
      </c>
      <c r="G398" s="122"/>
      <c r="H398" s="122"/>
      <c r="I398" s="122"/>
      <c r="J398" s="89"/>
      <c r="L398" t="str">
        <f t="shared" si="33"/>
        <v/>
      </c>
      <c r="M398" t="str">
        <f t="shared" si="34"/>
        <v/>
      </c>
    </row>
    <row r="399" spans="1:13">
      <c r="A399" s="81" t="str">
        <f>IF(E399="","",VLOOKUP('OPĆI DIO'!$C$3,'OPĆI DIO'!$L$6:$U$138,10,FALSE))</f>
        <v/>
      </c>
      <c r="B399" s="81" t="str">
        <f>IF(E399="","",VLOOKUP('OPĆI DIO'!$C$3,'OPĆI DIO'!$L$6:$U$138,9,FALSE))</f>
        <v/>
      </c>
      <c r="C399" s="124" t="str">
        <f t="shared" si="30"/>
        <v/>
      </c>
      <c r="D399" s="80" t="str">
        <f t="shared" si="31"/>
        <v/>
      </c>
      <c r="E399" s="89"/>
      <c r="F399" s="128" t="str">
        <f t="shared" si="32"/>
        <v/>
      </c>
      <c r="G399" s="122"/>
      <c r="H399" s="122"/>
      <c r="I399" s="122"/>
      <c r="J399" s="89"/>
      <c r="L399" t="str">
        <f t="shared" si="33"/>
        <v/>
      </c>
      <c r="M399" t="str">
        <f t="shared" si="34"/>
        <v/>
      </c>
    </row>
    <row r="400" spans="1:13">
      <c r="A400" s="81" t="str">
        <f>IF(E400="","",VLOOKUP('OPĆI DIO'!$C$3,'OPĆI DIO'!$L$6:$U$138,10,FALSE))</f>
        <v/>
      </c>
      <c r="B400" s="81" t="str">
        <f>IF(E400="","",VLOOKUP('OPĆI DIO'!$C$3,'OPĆI DIO'!$L$6:$U$138,9,FALSE))</f>
        <v/>
      </c>
      <c r="C400" s="124" t="str">
        <f t="shared" si="30"/>
        <v/>
      </c>
      <c r="D400" s="80" t="str">
        <f t="shared" si="31"/>
        <v/>
      </c>
      <c r="E400" s="89"/>
      <c r="F400" s="128" t="str">
        <f t="shared" si="32"/>
        <v/>
      </c>
      <c r="G400" s="122"/>
      <c r="H400" s="122"/>
      <c r="I400" s="122"/>
      <c r="J400" s="89"/>
      <c r="L400" t="str">
        <f t="shared" si="33"/>
        <v/>
      </c>
      <c r="M400" t="str">
        <f t="shared" si="34"/>
        <v/>
      </c>
    </row>
    <row r="401" spans="1:13">
      <c r="A401" s="81" t="str">
        <f>IF(E401="","",VLOOKUP('OPĆI DIO'!$C$3,'OPĆI DIO'!$L$6:$U$138,10,FALSE))</f>
        <v/>
      </c>
      <c r="B401" s="81" t="str">
        <f>IF(E401="","",VLOOKUP('OPĆI DIO'!$C$3,'OPĆI DIO'!$L$6:$U$138,9,FALSE))</f>
        <v/>
      </c>
      <c r="C401" s="124" t="str">
        <f t="shared" si="30"/>
        <v/>
      </c>
      <c r="D401" s="80" t="str">
        <f t="shared" si="31"/>
        <v/>
      </c>
      <c r="E401" s="89"/>
      <c r="F401" s="128" t="str">
        <f t="shared" si="32"/>
        <v/>
      </c>
      <c r="G401" s="122"/>
      <c r="H401" s="122"/>
      <c r="I401" s="122"/>
      <c r="J401" s="89"/>
      <c r="L401" t="str">
        <f t="shared" si="33"/>
        <v/>
      </c>
      <c r="M401" t="str">
        <f t="shared" si="34"/>
        <v/>
      </c>
    </row>
    <row r="402" spans="1:13">
      <c r="A402" s="81" t="str">
        <f>IF(E402="","",VLOOKUP('OPĆI DIO'!$C$3,'OPĆI DIO'!$L$6:$U$138,10,FALSE))</f>
        <v/>
      </c>
      <c r="B402" s="81" t="str">
        <f>IF(E402="","",VLOOKUP('OPĆI DIO'!$C$3,'OPĆI DIO'!$L$6:$U$138,9,FALSE))</f>
        <v/>
      </c>
      <c r="C402" s="124" t="str">
        <f t="shared" si="30"/>
        <v/>
      </c>
      <c r="D402" s="80" t="str">
        <f t="shared" si="31"/>
        <v/>
      </c>
      <c r="E402" s="89"/>
      <c r="F402" s="128" t="str">
        <f t="shared" si="32"/>
        <v/>
      </c>
      <c r="G402" s="122"/>
      <c r="H402" s="122"/>
      <c r="I402" s="122"/>
      <c r="J402" s="89"/>
      <c r="L402" t="str">
        <f t="shared" si="33"/>
        <v/>
      </c>
      <c r="M402" t="str">
        <f t="shared" si="34"/>
        <v/>
      </c>
    </row>
    <row r="403" spans="1:13">
      <c r="A403" s="81" t="str">
        <f>IF(E403="","",VLOOKUP('OPĆI DIO'!$C$3,'OPĆI DIO'!$L$6:$U$138,10,FALSE))</f>
        <v/>
      </c>
      <c r="B403" s="81" t="str">
        <f>IF(E403="","",VLOOKUP('OPĆI DIO'!$C$3,'OPĆI DIO'!$L$6:$U$138,9,FALSE))</f>
        <v/>
      </c>
      <c r="C403" s="124" t="str">
        <f t="shared" si="30"/>
        <v/>
      </c>
      <c r="D403" s="80" t="str">
        <f t="shared" si="31"/>
        <v/>
      </c>
      <c r="E403" s="89"/>
      <c r="F403" s="128" t="str">
        <f t="shared" si="32"/>
        <v/>
      </c>
      <c r="G403" s="122"/>
      <c r="H403" s="122"/>
      <c r="I403" s="122"/>
      <c r="J403" s="89"/>
      <c r="L403" t="str">
        <f t="shared" si="33"/>
        <v/>
      </c>
      <c r="M403" t="str">
        <f t="shared" si="34"/>
        <v/>
      </c>
    </row>
    <row r="404" spans="1:13">
      <c r="A404" s="81" t="str">
        <f>IF(E404="","",VLOOKUP('OPĆI DIO'!$C$3,'OPĆI DIO'!$L$6:$U$138,10,FALSE))</f>
        <v/>
      </c>
      <c r="B404" s="81" t="str">
        <f>IF(E404="","",VLOOKUP('OPĆI DIO'!$C$3,'OPĆI DIO'!$L$6:$U$138,9,FALSE))</f>
        <v/>
      </c>
      <c r="C404" s="124" t="str">
        <f t="shared" si="30"/>
        <v/>
      </c>
      <c r="D404" s="80" t="str">
        <f t="shared" si="31"/>
        <v/>
      </c>
      <c r="E404" s="89"/>
      <c r="F404" s="128" t="str">
        <f t="shared" si="32"/>
        <v/>
      </c>
      <c r="G404" s="122"/>
      <c r="H404" s="122"/>
      <c r="I404" s="122"/>
      <c r="J404" s="89"/>
      <c r="L404" t="str">
        <f t="shared" si="33"/>
        <v/>
      </c>
      <c r="M404" t="str">
        <f t="shared" si="34"/>
        <v/>
      </c>
    </row>
    <row r="405" spans="1:13">
      <c r="A405" s="81" t="str">
        <f>IF(E405="","",VLOOKUP('OPĆI DIO'!$C$3,'OPĆI DIO'!$L$6:$U$138,10,FALSE))</f>
        <v/>
      </c>
      <c r="B405" s="81" t="str">
        <f>IF(E405="","",VLOOKUP('OPĆI DIO'!$C$3,'OPĆI DIO'!$L$6:$U$138,9,FALSE))</f>
        <v/>
      </c>
      <c r="C405" s="124" t="str">
        <f t="shared" si="30"/>
        <v/>
      </c>
      <c r="D405" s="80" t="str">
        <f t="shared" si="31"/>
        <v/>
      </c>
      <c r="E405" s="89"/>
      <c r="F405" s="128" t="str">
        <f t="shared" si="32"/>
        <v/>
      </c>
      <c r="G405" s="122"/>
      <c r="H405" s="122"/>
      <c r="I405" s="122"/>
      <c r="J405" s="89"/>
      <c r="L405" t="str">
        <f t="shared" si="33"/>
        <v/>
      </c>
      <c r="M405" t="str">
        <f t="shared" si="34"/>
        <v/>
      </c>
    </row>
    <row r="406" spans="1:13">
      <c r="A406" s="81" t="str">
        <f>IF(E406="","",VLOOKUP('OPĆI DIO'!$C$3,'OPĆI DIO'!$L$6:$U$138,10,FALSE))</f>
        <v/>
      </c>
      <c r="B406" s="81" t="str">
        <f>IF(E406="","",VLOOKUP('OPĆI DIO'!$C$3,'OPĆI DIO'!$L$6:$U$138,9,FALSE))</f>
        <v/>
      </c>
      <c r="C406" s="124" t="str">
        <f t="shared" si="30"/>
        <v/>
      </c>
      <c r="D406" s="80" t="str">
        <f t="shared" si="31"/>
        <v/>
      </c>
      <c r="E406" s="89"/>
      <c r="F406" s="128" t="str">
        <f t="shared" si="32"/>
        <v/>
      </c>
      <c r="G406" s="122"/>
      <c r="H406" s="122"/>
      <c r="I406" s="122"/>
      <c r="J406" s="89"/>
      <c r="L406" t="str">
        <f t="shared" si="33"/>
        <v/>
      </c>
      <c r="M406" t="str">
        <f t="shared" si="34"/>
        <v/>
      </c>
    </row>
    <row r="407" spans="1:13">
      <c r="A407" s="81" t="str">
        <f>IF(E407="","",VLOOKUP('OPĆI DIO'!$C$3,'OPĆI DIO'!$L$6:$U$138,10,FALSE))</f>
        <v/>
      </c>
      <c r="B407" s="81" t="str">
        <f>IF(E407="","",VLOOKUP('OPĆI DIO'!$C$3,'OPĆI DIO'!$L$6:$U$138,9,FALSE))</f>
        <v/>
      </c>
      <c r="C407" s="124" t="str">
        <f t="shared" si="30"/>
        <v/>
      </c>
      <c r="D407" s="80" t="str">
        <f t="shared" si="31"/>
        <v/>
      </c>
      <c r="E407" s="89"/>
      <c r="F407" s="128" t="str">
        <f t="shared" si="32"/>
        <v/>
      </c>
      <c r="G407" s="122"/>
      <c r="H407" s="122"/>
      <c r="I407" s="122"/>
      <c r="J407" s="89"/>
      <c r="L407" t="str">
        <f t="shared" si="33"/>
        <v/>
      </c>
      <c r="M407" t="str">
        <f t="shared" si="34"/>
        <v/>
      </c>
    </row>
    <row r="408" spans="1:13">
      <c r="A408" s="81" t="str">
        <f>IF(E408="","",VLOOKUP('OPĆI DIO'!$C$3,'OPĆI DIO'!$L$6:$U$138,10,FALSE))</f>
        <v/>
      </c>
      <c r="B408" s="81" t="str">
        <f>IF(E408="","",VLOOKUP('OPĆI DIO'!$C$3,'OPĆI DIO'!$L$6:$U$138,9,FALSE))</f>
        <v/>
      </c>
      <c r="C408" s="124" t="str">
        <f t="shared" si="30"/>
        <v/>
      </c>
      <c r="D408" s="80" t="str">
        <f t="shared" si="31"/>
        <v/>
      </c>
      <c r="E408" s="89"/>
      <c r="F408" s="128" t="str">
        <f t="shared" si="32"/>
        <v/>
      </c>
      <c r="G408" s="122"/>
      <c r="H408" s="122"/>
      <c r="I408" s="122"/>
      <c r="J408" s="89"/>
      <c r="L408" t="str">
        <f t="shared" si="33"/>
        <v/>
      </c>
      <c r="M408" t="str">
        <f t="shared" si="34"/>
        <v/>
      </c>
    </row>
    <row r="409" spans="1:13">
      <c r="A409" s="81" t="str">
        <f>IF(E409="","",VLOOKUP('OPĆI DIO'!$C$3,'OPĆI DIO'!$L$6:$U$138,10,FALSE))</f>
        <v/>
      </c>
      <c r="B409" s="81" t="str">
        <f>IF(E409="","",VLOOKUP('OPĆI DIO'!$C$3,'OPĆI DIO'!$L$6:$U$138,9,FALSE))</f>
        <v/>
      </c>
      <c r="C409" s="124" t="str">
        <f t="shared" si="30"/>
        <v/>
      </c>
      <c r="D409" s="80" t="str">
        <f t="shared" si="31"/>
        <v/>
      </c>
      <c r="E409" s="89"/>
      <c r="F409" s="128" t="str">
        <f t="shared" si="32"/>
        <v/>
      </c>
      <c r="G409" s="122"/>
      <c r="H409" s="122"/>
      <c r="I409" s="122"/>
      <c r="J409" s="89"/>
      <c r="L409" t="str">
        <f t="shared" si="33"/>
        <v/>
      </c>
      <c r="M409" t="str">
        <f t="shared" si="34"/>
        <v/>
      </c>
    </row>
    <row r="410" spans="1:13">
      <c r="A410" s="81" t="str">
        <f>IF(E410="","",VLOOKUP('OPĆI DIO'!$C$3,'OPĆI DIO'!$L$6:$U$138,10,FALSE))</f>
        <v/>
      </c>
      <c r="B410" s="81" t="str">
        <f>IF(E410="","",VLOOKUP('OPĆI DIO'!$C$3,'OPĆI DIO'!$L$6:$U$138,9,FALSE))</f>
        <v/>
      </c>
      <c r="C410" s="124" t="str">
        <f t="shared" si="30"/>
        <v/>
      </c>
      <c r="D410" s="80" t="str">
        <f t="shared" si="31"/>
        <v/>
      </c>
      <c r="E410" s="89"/>
      <c r="F410" s="128" t="str">
        <f t="shared" si="32"/>
        <v/>
      </c>
      <c r="G410" s="122"/>
      <c r="H410" s="122"/>
      <c r="I410" s="122"/>
      <c r="J410" s="89"/>
      <c r="L410" t="str">
        <f t="shared" si="33"/>
        <v/>
      </c>
      <c r="M410" t="str">
        <f t="shared" si="34"/>
        <v/>
      </c>
    </row>
    <row r="411" spans="1:13">
      <c r="A411" s="81" t="str">
        <f>IF(E411="","",VLOOKUP('OPĆI DIO'!$C$3,'OPĆI DIO'!$L$6:$U$138,10,FALSE))</f>
        <v/>
      </c>
      <c r="B411" s="81" t="str">
        <f>IF(E411="","",VLOOKUP('OPĆI DIO'!$C$3,'OPĆI DIO'!$L$6:$U$138,9,FALSE))</f>
        <v/>
      </c>
      <c r="C411" s="124" t="str">
        <f t="shared" si="30"/>
        <v/>
      </c>
      <c r="D411" s="80" t="str">
        <f t="shared" si="31"/>
        <v/>
      </c>
      <c r="E411" s="89"/>
      <c r="F411" s="128" t="str">
        <f t="shared" si="32"/>
        <v/>
      </c>
      <c r="G411" s="122"/>
      <c r="H411" s="122"/>
      <c r="I411" s="122"/>
      <c r="J411" s="89"/>
      <c r="L411" t="str">
        <f t="shared" si="33"/>
        <v/>
      </c>
      <c r="M411" t="str">
        <f t="shared" si="34"/>
        <v/>
      </c>
    </row>
    <row r="412" spans="1:13">
      <c r="A412" s="81" t="str">
        <f>IF(E412="","",VLOOKUP('OPĆI DIO'!$C$3,'OPĆI DIO'!$L$6:$U$138,10,FALSE))</f>
        <v/>
      </c>
      <c r="B412" s="81" t="str">
        <f>IF(E412="","",VLOOKUP('OPĆI DIO'!$C$3,'OPĆI DIO'!$L$6:$U$138,9,FALSE))</f>
        <v/>
      </c>
      <c r="C412" s="124" t="str">
        <f t="shared" si="30"/>
        <v/>
      </c>
      <c r="D412" s="80" t="str">
        <f t="shared" si="31"/>
        <v/>
      </c>
      <c r="E412" s="89"/>
      <c r="F412" s="128" t="str">
        <f t="shared" si="32"/>
        <v/>
      </c>
      <c r="G412" s="122"/>
      <c r="H412" s="122"/>
      <c r="I412" s="122"/>
      <c r="J412" s="89"/>
      <c r="L412" t="str">
        <f t="shared" si="33"/>
        <v/>
      </c>
      <c r="M412" t="str">
        <f t="shared" si="34"/>
        <v/>
      </c>
    </row>
    <row r="413" spans="1:13">
      <c r="A413" s="81" t="str">
        <f>IF(E413="","",VLOOKUP('OPĆI DIO'!$C$3,'OPĆI DIO'!$L$6:$U$138,10,FALSE))</f>
        <v/>
      </c>
      <c r="B413" s="81" t="str">
        <f>IF(E413="","",VLOOKUP('OPĆI DIO'!$C$3,'OPĆI DIO'!$L$6:$U$138,9,FALSE))</f>
        <v/>
      </c>
      <c r="C413" s="124" t="str">
        <f t="shared" si="30"/>
        <v/>
      </c>
      <c r="D413" s="80" t="str">
        <f t="shared" si="31"/>
        <v/>
      </c>
      <c r="E413" s="89"/>
      <c r="F413" s="128" t="str">
        <f t="shared" si="32"/>
        <v/>
      </c>
      <c r="G413" s="122"/>
      <c r="H413" s="122"/>
      <c r="I413" s="122"/>
      <c r="J413" s="89"/>
      <c r="L413" t="str">
        <f t="shared" si="33"/>
        <v/>
      </c>
      <c r="M413" t="str">
        <f t="shared" si="34"/>
        <v/>
      </c>
    </row>
    <row r="414" spans="1:13">
      <c r="A414" s="81" t="str">
        <f>IF(E414="","",VLOOKUP('OPĆI DIO'!$C$3,'OPĆI DIO'!$L$6:$U$138,10,FALSE))</f>
        <v/>
      </c>
      <c r="B414" s="81" t="str">
        <f>IF(E414="","",VLOOKUP('OPĆI DIO'!$C$3,'OPĆI DIO'!$L$6:$U$138,9,FALSE))</f>
        <v/>
      </c>
      <c r="C414" s="124" t="str">
        <f t="shared" si="30"/>
        <v/>
      </c>
      <c r="D414" s="80" t="str">
        <f t="shared" si="31"/>
        <v/>
      </c>
      <c r="E414" s="89"/>
      <c r="F414" s="128" t="str">
        <f t="shared" si="32"/>
        <v/>
      </c>
      <c r="G414" s="122"/>
      <c r="H414" s="122"/>
      <c r="I414" s="122"/>
      <c r="J414" s="89"/>
      <c r="L414" t="str">
        <f t="shared" si="33"/>
        <v/>
      </c>
      <c r="M414" t="str">
        <f t="shared" si="34"/>
        <v/>
      </c>
    </row>
    <row r="415" spans="1:13">
      <c r="A415" s="81" t="str">
        <f>IF(E415="","",VLOOKUP('OPĆI DIO'!$C$3,'OPĆI DIO'!$L$6:$U$138,10,FALSE))</f>
        <v/>
      </c>
      <c r="B415" s="81" t="str">
        <f>IF(E415="","",VLOOKUP('OPĆI DIO'!$C$3,'OPĆI DIO'!$L$6:$U$138,9,FALSE))</f>
        <v/>
      </c>
      <c r="C415" s="124" t="str">
        <f t="shared" si="30"/>
        <v/>
      </c>
      <c r="D415" s="80" t="str">
        <f t="shared" si="31"/>
        <v/>
      </c>
      <c r="E415" s="89"/>
      <c r="F415" s="128" t="str">
        <f t="shared" si="32"/>
        <v/>
      </c>
      <c r="G415" s="122"/>
      <c r="H415" s="122"/>
      <c r="I415" s="122"/>
      <c r="J415" s="89"/>
      <c r="L415" t="str">
        <f t="shared" si="33"/>
        <v/>
      </c>
      <c r="M415" t="str">
        <f t="shared" si="34"/>
        <v/>
      </c>
    </row>
    <row r="416" spans="1:13">
      <c r="A416" s="81" t="str">
        <f>IF(E416="","",VLOOKUP('OPĆI DIO'!$C$3,'OPĆI DIO'!$L$6:$U$138,10,FALSE))</f>
        <v/>
      </c>
      <c r="B416" s="81" t="str">
        <f>IF(E416="","",VLOOKUP('OPĆI DIO'!$C$3,'OPĆI DIO'!$L$6:$U$138,9,FALSE))</f>
        <v/>
      </c>
      <c r="C416" s="124" t="str">
        <f t="shared" si="30"/>
        <v/>
      </c>
      <c r="D416" s="80" t="str">
        <f t="shared" si="31"/>
        <v/>
      </c>
      <c r="E416" s="89"/>
      <c r="F416" s="128" t="str">
        <f t="shared" si="32"/>
        <v/>
      </c>
      <c r="G416" s="122"/>
      <c r="H416" s="122"/>
      <c r="I416" s="122"/>
      <c r="J416" s="89"/>
      <c r="L416" t="str">
        <f t="shared" si="33"/>
        <v/>
      </c>
      <c r="M416" t="str">
        <f t="shared" si="34"/>
        <v/>
      </c>
    </row>
    <row r="417" spans="1:13">
      <c r="A417" s="81" t="str">
        <f>IF(E417="","",VLOOKUP('OPĆI DIO'!$C$3,'OPĆI DIO'!$L$6:$U$138,10,FALSE))</f>
        <v/>
      </c>
      <c r="B417" s="81" t="str">
        <f>IF(E417="","",VLOOKUP('OPĆI DIO'!$C$3,'OPĆI DIO'!$L$6:$U$138,9,FALSE))</f>
        <v/>
      </c>
      <c r="C417" s="124" t="str">
        <f t="shared" si="30"/>
        <v/>
      </c>
      <c r="D417" s="80" t="str">
        <f t="shared" si="31"/>
        <v/>
      </c>
      <c r="E417" s="89"/>
      <c r="F417" s="128" t="str">
        <f t="shared" si="32"/>
        <v/>
      </c>
      <c r="G417" s="122"/>
      <c r="H417" s="122"/>
      <c r="I417" s="122"/>
      <c r="J417" s="89"/>
      <c r="L417" t="str">
        <f t="shared" si="33"/>
        <v/>
      </c>
      <c r="M417" t="str">
        <f t="shared" si="34"/>
        <v/>
      </c>
    </row>
    <row r="418" spans="1:13">
      <c r="A418" s="81" t="str">
        <f>IF(E418="","",VLOOKUP('OPĆI DIO'!$C$3,'OPĆI DIO'!$L$6:$U$138,10,FALSE))</f>
        <v/>
      </c>
      <c r="B418" s="81" t="str">
        <f>IF(E418="","",VLOOKUP('OPĆI DIO'!$C$3,'OPĆI DIO'!$L$6:$U$138,9,FALSE))</f>
        <v/>
      </c>
      <c r="C418" s="124" t="str">
        <f t="shared" si="30"/>
        <v/>
      </c>
      <c r="D418" s="80" t="str">
        <f t="shared" si="31"/>
        <v/>
      </c>
      <c r="E418" s="89"/>
      <c r="F418" s="128" t="str">
        <f t="shared" si="32"/>
        <v/>
      </c>
      <c r="G418" s="122"/>
      <c r="H418" s="122"/>
      <c r="I418" s="122"/>
      <c r="J418" s="89"/>
      <c r="L418" t="str">
        <f t="shared" si="33"/>
        <v/>
      </c>
      <c r="M418" t="str">
        <f t="shared" si="34"/>
        <v/>
      </c>
    </row>
    <row r="419" spans="1:13">
      <c r="A419" s="81" t="str">
        <f>IF(E419="","",VLOOKUP('OPĆI DIO'!$C$3,'OPĆI DIO'!$L$6:$U$138,10,FALSE))</f>
        <v/>
      </c>
      <c r="B419" s="81" t="str">
        <f>IF(E419="","",VLOOKUP('OPĆI DIO'!$C$3,'OPĆI DIO'!$L$6:$U$138,9,FALSE))</f>
        <v/>
      </c>
      <c r="C419" s="124" t="str">
        <f t="shared" si="30"/>
        <v/>
      </c>
      <c r="D419" s="80" t="str">
        <f t="shared" si="31"/>
        <v/>
      </c>
      <c r="E419" s="89"/>
      <c r="F419" s="128" t="str">
        <f t="shared" si="32"/>
        <v/>
      </c>
      <c r="G419" s="122"/>
      <c r="H419" s="122"/>
      <c r="I419" s="122"/>
      <c r="J419" s="89"/>
      <c r="L419" t="str">
        <f t="shared" si="33"/>
        <v/>
      </c>
      <c r="M419" t="str">
        <f t="shared" si="34"/>
        <v/>
      </c>
    </row>
    <row r="420" spans="1:13">
      <c r="A420" s="81" t="str">
        <f>IF(E420="","",VLOOKUP('OPĆI DIO'!$C$3,'OPĆI DIO'!$L$6:$U$138,10,FALSE))</f>
        <v/>
      </c>
      <c r="B420" s="81" t="str">
        <f>IF(E420="","",VLOOKUP('OPĆI DIO'!$C$3,'OPĆI DIO'!$L$6:$U$138,9,FALSE))</f>
        <v/>
      </c>
      <c r="C420" s="124" t="str">
        <f t="shared" si="30"/>
        <v/>
      </c>
      <c r="D420" s="80" t="str">
        <f t="shared" si="31"/>
        <v/>
      </c>
      <c r="E420" s="89"/>
      <c r="F420" s="128" t="str">
        <f t="shared" si="32"/>
        <v/>
      </c>
      <c r="G420" s="122"/>
      <c r="H420" s="122"/>
      <c r="I420" s="122"/>
      <c r="J420" s="89"/>
      <c r="L420" t="str">
        <f t="shared" si="33"/>
        <v/>
      </c>
      <c r="M420" t="str">
        <f t="shared" si="34"/>
        <v/>
      </c>
    </row>
    <row r="421" spans="1:13">
      <c r="A421" s="81" t="str">
        <f>IF(E421="","",VLOOKUP('OPĆI DIO'!$C$3,'OPĆI DIO'!$L$6:$U$138,10,FALSE))</f>
        <v/>
      </c>
      <c r="B421" s="81" t="str">
        <f>IF(E421="","",VLOOKUP('OPĆI DIO'!$C$3,'OPĆI DIO'!$L$6:$U$138,9,FALSE))</f>
        <v/>
      </c>
      <c r="C421" s="124" t="str">
        <f t="shared" si="30"/>
        <v/>
      </c>
      <c r="D421" s="80" t="str">
        <f t="shared" si="31"/>
        <v/>
      </c>
      <c r="E421" s="89"/>
      <c r="F421" s="128" t="str">
        <f t="shared" si="32"/>
        <v/>
      </c>
      <c r="G421" s="122"/>
      <c r="H421" s="122"/>
      <c r="I421" s="122"/>
      <c r="J421" s="89"/>
      <c r="L421" t="str">
        <f t="shared" si="33"/>
        <v/>
      </c>
      <c r="M421" t="str">
        <f t="shared" si="34"/>
        <v/>
      </c>
    </row>
    <row r="422" spans="1:13">
      <c r="A422" s="81" t="str">
        <f>IF(E422="","",VLOOKUP('OPĆI DIO'!$C$3,'OPĆI DIO'!$L$6:$U$138,10,FALSE))</f>
        <v/>
      </c>
      <c r="B422" s="81" t="str">
        <f>IF(E422="","",VLOOKUP('OPĆI DIO'!$C$3,'OPĆI DIO'!$L$6:$U$138,9,FALSE))</f>
        <v/>
      </c>
      <c r="C422" s="124" t="str">
        <f t="shared" si="30"/>
        <v/>
      </c>
      <c r="D422" s="80" t="str">
        <f t="shared" si="31"/>
        <v/>
      </c>
      <c r="E422" s="89"/>
      <c r="F422" s="128" t="str">
        <f t="shared" si="32"/>
        <v/>
      </c>
      <c r="G422" s="122"/>
      <c r="H422" s="122"/>
      <c r="I422" s="122"/>
      <c r="J422" s="89"/>
      <c r="L422" t="str">
        <f t="shared" si="33"/>
        <v/>
      </c>
      <c r="M422" t="str">
        <f t="shared" si="34"/>
        <v/>
      </c>
    </row>
    <row r="423" spans="1:13">
      <c r="A423" s="81" t="str">
        <f>IF(E423="","",VLOOKUP('OPĆI DIO'!$C$3,'OPĆI DIO'!$L$6:$U$138,10,FALSE))</f>
        <v/>
      </c>
      <c r="B423" s="81" t="str">
        <f>IF(E423="","",VLOOKUP('OPĆI DIO'!$C$3,'OPĆI DIO'!$L$6:$U$138,9,FALSE))</f>
        <v/>
      </c>
      <c r="C423" s="124" t="str">
        <f t="shared" si="30"/>
        <v/>
      </c>
      <c r="D423" s="80" t="str">
        <f t="shared" si="31"/>
        <v/>
      </c>
      <c r="E423" s="89"/>
      <c r="F423" s="128" t="str">
        <f t="shared" si="32"/>
        <v/>
      </c>
      <c r="G423" s="122"/>
      <c r="H423" s="122"/>
      <c r="I423" s="122"/>
      <c r="J423" s="89"/>
      <c r="L423" t="str">
        <f t="shared" si="33"/>
        <v/>
      </c>
      <c r="M423" t="str">
        <f t="shared" si="34"/>
        <v/>
      </c>
    </row>
    <row r="424" spans="1:13">
      <c r="A424" s="81" t="str">
        <f>IF(E424="","",VLOOKUP('OPĆI DIO'!$C$3,'OPĆI DIO'!$L$6:$U$138,10,FALSE))</f>
        <v/>
      </c>
      <c r="B424" s="81" t="str">
        <f>IF(E424="","",VLOOKUP('OPĆI DIO'!$C$3,'OPĆI DIO'!$L$6:$U$138,9,FALSE))</f>
        <v/>
      </c>
      <c r="C424" s="124" t="str">
        <f t="shared" si="30"/>
        <v/>
      </c>
      <c r="D424" s="80" t="str">
        <f t="shared" si="31"/>
        <v/>
      </c>
      <c r="E424" s="89"/>
      <c r="F424" s="128" t="str">
        <f t="shared" si="32"/>
        <v/>
      </c>
      <c r="G424" s="122"/>
      <c r="H424" s="122"/>
      <c r="I424" s="122"/>
      <c r="J424" s="89"/>
      <c r="L424" t="str">
        <f t="shared" si="33"/>
        <v/>
      </c>
      <c r="M424" t="str">
        <f t="shared" si="34"/>
        <v/>
      </c>
    </row>
    <row r="425" spans="1:13">
      <c r="A425" s="81" t="str">
        <f>IF(E425="","",VLOOKUP('OPĆI DIO'!$C$3,'OPĆI DIO'!$L$6:$U$138,10,FALSE))</f>
        <v/>
      </c>
      <c r="B425" s="81" t="str">
        <f>IF(E425="","",VLOOKUP('OPĆI DIO'!$C$3,'OPĆI DIO'!$L$6:$U$138,9,FALSE))</f>
        <v/>
      </c>
      <c r="C425" s="124" t="str">
        <f t="shared" si="30"/>
        <v/>
      </c>
      <c r="D425" s="80" t="str">
        <f t="shared" si="31"/>
        <v/>
      </c>
      <c r="E425" s="89"/>
      <c r="F425" s="128" t="str">
        <f t="shared" si="32"/>
        <v/>
      </c>
      <c r="G425" s="122"/>
      <c r="H425" s="122"/>
      <c r="I425" s="122"/>
      <c r="J425" s="89"/>
      <c r="L425" t="str">
        <f t="shared" si="33"/>
        <v/>
      </c>
      <c r="M425" t="str">
        <f t="shared" si="34"/>
        <v/>
      </c>
    </row>
    <row r="426" spans="1:13">
      <c r="A426" s="81" t="str">
        <f>IF(E426="","",VLOOKUP('OPĆI DIO'!$C$3,'OPĆI DIO'!$L$6:$U$138,10,FALSE))</f>
        <v/>
      </c>
      <c r="B426" s="81" t="str">
        <f>IF(E426="","",VLOOKUP('OPĆI DIO'!$C$3,'OPĆI DIO'!$L$6:$U$138,9,FALSE))</f>
        <v/>
      </c>
      <c r="C426" s="124" t="str">
        <f t="shared" si="30"/>
        <v/>
      </c>
      <c r="D426" s="80" t="str">
        <f t="shared" si="31"/>
        <v/>
      </c>
      <c r="E426" s="89"/>
      <c r="F426" s="128" t="str">
        <f t="shared" si="32"/>
        <v/>
      </c>
      <c r="G426" s="122"/>
      <c r="H426" s="122"/>
      <c r="I426" s="122"/>
      <c r="J426" s="89"/>
      <c r="L426" t="str">
        <f t="shared" si="33"/>
        <v/>
      </c>
      <c r="M426" t="str">
        <f t="shared" si="34"/>
        <v/>
      </c>
    </row>
    <row r="427" spans="1:13">
      <c r="A427" s="81" t="str">
        <f>IF(E427="","",VLOOKUP('OPĆI DIO'!$C$3,'OPĆI DIO'!$L$6:$U$138,10,FALSE))</f>
        <v/>
      </c>
      <c r="B427" s="81" t="str">
        <f>IF(E427="","",VLOOKUP('OPĆI DIO'!$C$3,'OPĆI DIO'!$L$6:$U$138,9,FALSE))</f>
        <v/>
      </c>
      <c r="C427" s="124" t="str">
        <f t="shared" si="30"/>
        <v/>
      </c>
      <c r="D427" s="80" t="str">
        <f t="shared" si="31"/>
        <v/>
      </c>
      <c r="E427" s="89"/>
      <c r="F427" s="128" t="str">
        <f t="shared" si="32"/>
        <v/>
      </c>
      <c r="G427" s="122"/>
      <c r="H427" s="122"/>
      <c r="I427" s="122"/>
      <c r="J427" s="89"/>
      <c r="L427" t="str">
        <f t="shared" si="33"/>
        <v/>
      </c>
      <c r="M427" t="str">
        <f t="shared" si="34"/>
        <v/>
      </c>
    </row>
    <row r="428" spans="1:13">
      <c r="A428" s="81" t="str">
        <f>IF(E428="","",VLOOKUP('OPĆI DIO'!$C$3,'OPĆI DIO'!$L$6:$U$138,10,FALSE))</f>
        <v/>
      </c>
      <c r="B428" s="81" t="str">
        <f>IF(E428="","",VLOOKUP('OPĆI DIO'!$C$3,'OPĆI DIO'!$L$6:$U$138,9,FALSE))</f>
        <v/>
      </c>
      <c r="C428" s="124" t="str">
        <f t="shared" si="30"/>
        <v/>
      </c>
      <c r="D428" s="80" t="str">
        <f t="shared" si="31"/>
        <v/>
      </c>
      <c r="E428" s="89"/>
      <c r="F428" s="128" t="str">
        <f t="shared" si="32"/>
        <v/>
      </c>
      <c r="G428" s="122"/>
      <c r="H428" s="122"/>
      <c r="I428" s="122"/>
      <c r="J428" s="89"/>
      <c r="L428" t="str">
        <f t="shared" si="33"/>
        <v/>
      </c>
      <c r="M428" t="str">
        <f t="shared" si="34"/>
        <v/>
      </c>
    </row>
    <row r="429" spans="1:13">
      <c r="A429" s="81" t="str">
        <f>IF(E429="","",VLOOKUP('OPĆI DIO'!$C$3,'OPĆI DIO'!$L$6:$U$138,10,FALSE))</f>
        <v/>
      </c>
      <c r="B429" s="81" t="str">
        <f>IF(E429="","",VLOOKUP('OPĆI DIO'!$C$3,'OPĆI DIO'!$L$6:$U$138,9,FALSE))</f>
        <v/>
      </c>
      <c r="C429" s="124" t="str">
        <f t="shared" si="30"/>
        <v/>
      </c>
      <c r="D429" s="80" t="str">
        <f t="shared" si="31"/>
        <v/>
      </c>
      <c r="E429" s="89"/>
      <c r="F429" s="128" t="str">
        <f t="shared" si="32"/>
        <v/>
      </c>
      <c r="G429" s="122"/>
      <c r="H429" s="122"/>
      <c r="I429" s="122"/>
      <c r="J429" s="89"/>
      <c r="L429" t="str">
        <f t="shared" si="33"/>
        <v/>
      </c>
      <c r="M429" t="str">
        <f t="shared" si="34"/>
        <v/>
      </c>
    </row>
    <row r="430" spans="1:13">
      <c r="A430" s="81" t="str">
        <f>IF(E430="","",VLOOKUP('OPĆI DIO'!$C$3,'OPĆI DIO'!$L$6:$U$138,10,FALSE))</f>
        <v/>
      </c>
      <c r="B430" s="81" t="str">
        <f>IF(E430="","",VLOOKUP('OPĆI DIO'!$C$3,'OPĆI DIO'!$L$6:$U$138,9,FALSE))</f>
        <v/>
      </c>
      <c r="C430" s="124" t="str">
        <f t="shared" si="30"/>
        <v/>
      </c>
      <c r="D430" s="80" t="str">
        <f t="shared" si="31"/>
        <v/>
      </c>
      <c r="E430" s="89"/>
      <c r="F430" s="128" t="str">
        <f t="shared" si="32"/>
        <v/>
      </c>
      <c r="G430" s="122"/>
      <c r="H430" s="122"/>
      <c r="I430" s="122"/>
      <c r="J430" s="89"/>
      <c r="L430" t="str">
        <f t="shared" si="33"/>
        <v/>
      </c>
      <c r="M430" t="str">
        <f t="shared" si="34"/>
        <v/>
      </c>
    </row>
    <row r="431" spans="1:13">
      <c r="A431" s="81" t="str">
        <f>IF(E431="","",VLOOKUP('OPĆI DIO'!$C$3,'OPĆI DIO'!$L$6:$U$138,10,FALSE))</f>
        <v/>
      </c>
      <c r="B431" s="81" t="str">
        <f>IF(E431="","",VLOOKUP('OPĆI DIO'!$C$3,'OPĆI DIO'!$L$6:$U$138,9,FALSE))</f>
        <v/>
      </c>
      <c r="C431" s="124" t="str">
        <f t="shared" si="30"/>
        <v/>
      </c>
      <c r="D431" s="80" t="str">
        <f t="shared" si="31"/>
        <v/>
      </c>
      <c r="E431" s="89"/>
      <c r="F431" s="128" t="str">
        <f t="shared" si="32"/>
        <v/>
      </c>
      <c r="G431" s="122"/>
      <c r="H431" s="122"/>
      <c r="I431" s="122"/>
      <c r="J431" s="89"/>
      <c r="L431" t="str">
        <f t="shared" si="33"/>
        <v/>
      </c>
      <c r="M431" t="str">
        <f t="shared" si="34"/>
        <v/>
      </c>
    </row>
    <row r="432" spans="1:13">
      <c r="A432" s="81" t="str">
        <f>IF(E432="","",VLOOKUP('OPĆI DIO'!$C$3,'OPĆI DIO'!$L$6:$U$138,10,FALSE))</f>
        <v/>
      </c>
      <c r="B432" s="81" t="str">
        <f>IF(E432="","",VLOOKUP('OPĆI DIO'!$C$3,'OPĆI DIO'!$L$6:$U$138,9,FALSE))</f>
        <v/>
      </c>
      <c r="C432" s="124" t="str">
        <f t="shared" si="30"/>
        <v/>
      </c>
      <c r="D432" s="80" t="str">
        <f t="shared" si="31"/>
        <v/>
      </c>
      <c r="E432" s="89"/>
      <c r="F432" s="128" t="str">
        <f t="shared" si="32"/>
        <v/>
      </c>
      <c r="G432" s="122"/>
      <c r="H432" s="122"/>
      <c r="I432" s="122"/>
      <c r="J432" s="89"/>
      <c r="L432" t="str">
        <f t="shared" si="33"/>
        <v/>
      </c>
      <c r="M432" t="str">
        <f t="shared" si="34"/>
        <v/>
      </c>
    </row>
    <row r="433" spans="1:13">
      <c r="A433" s="81" t="str">
        <f>IF(E433="","",VLOOKUP('OPĆI DIO'!$C$3,'OPĆI DIO'!$L$6:$U$138,10,FALSE))</f>
        <v/>
      </c>
      <c r="B433" s="81" t="str">
        <f>IF(E433="","",VLOOKUP('OPĆI DIO'!$C$3,'OPĆI DIO'!$L$6:$U$138,9,FALSE))</f>
        <v/>
      </c>
      <c r="C433" s="124" t="str">
        <f t="shared" si="30"/>
        <v/>
      </c>
      <c r="D433" s="80" t="str">
        <f t="shared" si="31"/>
        <v/>
      </c>
      <c r="E433" s="89"/>
      <c r="F433" s="128" t="str">
        <f t="shared" si="32"/>
        <v/>
      </c>
      <c r="G433" s="122"/>
      <c r="H433" s="122"/>
      <c r="I433" s="122"/>
      <c r="J433" s="89"/>
      <c r="L433" t="str">
        <f t="shared" si="33"/>
        <v/>
      </c>
      <c r="M433" t="str">
        <f t="shared" si="34"/>
        <v/>
      </c>
    </row>
    <row r="434" spans="1:13">
      <c r="A434" s="81" t="str">
        <f>IF(E434="","",VLOOKUP('OPĆI DIO'!$C$3,'OPĆI DIO'!$L$6:$U$138,10,FALSE))</f>
        <v/>
      </c>
      <c r="B434" s="81" t="str">
        <f>IF(E434="","",VLOOKUP('OPĆI DIO'!$C$3,'OPĆI DIO'!$L$6:$U$138,9,FALSE))</f>
        <v/>
      </c>
      <c r="C434" s="124" t="str">
        <f t="shared" si="30"/>
        <v/>
      </c>
      <c r="D434" s="80" t="str">
        <f t="shared" si="31"/>
        <v/>
      </c>
      <c r="E434" s="89"/>
      <c r="F434" s="128" t="str">
        <f t="shared" si="32"/>
        <v/>
      </c>
      <c r="G434" s="122"/>
      <c r="H434" s="122"/>
      <c r="I434" s="122"/>
      <c r="J434" s="89"/>
      <c r="L434" t="str">
        <f t="shared" si="33"/>
        <v/>
      </c>
      <c r="M434" t="str">
        <f t="shared" si="34"/>
        <v/>
      </c>
    </row>
    <row r="435" spans="1:13">
      <c r="A435" s="81" t="str">
        <f>IF(E435="","",VLOOKUP('OPĆI DIO'!$C$3,'OPĆI DIO'!$L$6:$U$138,10,FALSE))</f>
        <v/>
      </c>
      <c r="B435" s="81" t="str">
        <f>IF(E435="","",VLOOKUP('OPĆI DIO'!$C$3,'OPĆI DIO'!$L$6:$U$138,9,FALSE))</f>
        <v/>
      </c>
      <c r="C435" s="124" t="str">
        <f t="shared" si="30"/>
        <v/>
      </c>
      <c r="D435" s="80" t="str">
        <f t="shared" si="31"/>
        <v/>
      </c>
      <c r="E435" s="89"/>
      <c r="F435" s="128" t="str">
        <f t="shared" si="32"/>
        <v/>
      </c>
      <c r="G435" s="122"/>
      <c r="H435" s="122"/>
      <c r="I435" s="122"/>
      <c r="J435" s="89"/>
      <c r="L435" t="str">
        <f t="shared" si="33"/>
        <v/>
      </c>
      <c r="M435" t="str">
        <f t="shared" si="34"/>
        <v/>
      </c>
    </row>
    <row r="436" spans="1:13">
      <c r="A436" s="81" t="str">
        <f>IF(E436="","",VLOOKUP('OPĆI DIO'!$C$3,'OPĆI DIO'!$L$6:$U$138,10,FALSE))</f>
        <v/>
      </c>
      <c r="B436" s="81" t="str">
        <f>IF(E436="","",VLOOKUP('OPĆI DIO'!$C$3,'OPĆI DIO'!$L$6:$U$138,9,FALSE))</f>
        <v/>
      </c>
      <c r="C436" s="124" t="str">
        <f t="shared" si="30"/>
        <v/>
      </c>
      <c r="D436" s="80" t="str">
        <f t="shared" si="31"/>
        <v/>
      </c>
      <c r="E436" s="89"/>
      <c r="F436" s="128" t="str">
        <f t="shared" si="32"/>
        <v/>
      </c>
      <c r="G436" s="122"/>
      <c r="H436" s="122"/>
      <c r="I436" s="122"/>
      <c r="J436" s="89"/>
      <c r="L436" t="str">
        <f t="shared" si="33"/>
        <v/>
      </c>
      <c r="M436" t="str">
        <f t="shared" si="34"/>
        <v/>
      </c>
    </row>
    <row r="437" spans="1:13">
      <c r="A437" s="81" t="str">
        <f>IF(E437="","",VLOOKUP('OPĆI DIO'!$C$3,'OPĆI DIO'!$L$6:$U$138,10,FALSE))</f>
        <v/>
      </c>
      <c r="B437" s="81" t="str">
        <f>IF(E437="","",VLOOKUP('OPĆI DIO'!$C$3,'OPĆI DIO'!$L$6:$U$138,9,FALSE))</f>
        <v/>
      </c>
      <c r="C437" s="124" t="str">
        <f t="shared" si="30"/>
        <v/>
      </c>
      <c r="D437" s="80" t="str">
        <f t="shared" si="31"/>
        <v/>
      </c>
      <c r="E437" s="89"/>
      <c r="F437" s="128" t="str">
        <f t="shared" si="32"/>
        <v/>
      </c>
      <c r="G437" s="122"/>
      <c r="H437" s="122"/>
      <c r="I437" s="122"/>
      <c r="J437" s="89"/>
      <c r="L437" t="str">
        <f t="shared" si="33"/>
        <v/>
      </c>
      <c r="M437" t="str">
        <f t="shared" si="34"/>
        <v/>
      </c>
    </row>
    <row r="438" spans="1:13">
      <c r="A438" s="81" t="str">
        <f>IF(E438="","",VLOOKUP('OPĆI DIO'!$C$3,'OPĆI DIO'!$L$6:$U$138,10,FALSE))</f>
        <v/>
      </c>
      <c r="B438" s="81" t="str">
        <f>IF(E438="","",VLOOKUP('OPĆI DIO'!$C$3,'OPĆI DIO'!$L$6:$U$138,9,FALSE))</f>
        <v/>
      </c>
      <c r="C438" s="124" t="str">
        <f t="shared" si="30"/>
        <v/>
      </c>
      <c r="D438" s="80" t="str">
        <f t="shared" si="31"/>
        <v/>
      </c>
      <c r="E438" s="89"/>
      <c r="F438" s="128" t="str">
        <f t="shared" si="32"/>
        <v/>
      </c>
      <c r="G438" s="122"/>
      <c r="H438" s="122"/>
      <c r="I438" s="122"/>
      <c r="J438" s="89"/>
      <c r="L438" t="str">
        <f t="shared" si="33"/>
        <v/>
      </c>
      <c r="M438" t="str">
        <f t="shared" si="34"/>
        <v/>
      </c>
    </row>
    <row r="439" spans="1:13">
      <c r="A439" s="81" t="str">
        <f>IF(E439="","",VLOOKUP('OPĆI DIO'!$C$3,'OPĆI DIO'!$L$6:$U$138,10,FALSE))</f>
        <v/>
      </c>
      <c r="B439" s="81" t="str">
        <f>IF(E439="","",VLOOKUP('OPĆI DIO'!$C$3,'OPĆI DIO'!$L$6:$U$138,9,FALSE))</f>
        <v/>
      </c>
      <c r="C439" s="124" t="str">
        <f t="shared" si="30"/>
        <v/>
      </c>
      <c r="D439" s="80" t="str">
        <f t="shared" si="31"/>
        <v/>
      </c>
      <c r="E439" s="89"/>
      <c r="F439" s="128" t="str">
        <f t="shared" si="32"/>
        <v/>
      </c>
      <c r="G439" s="122"/>
      <c r="H439" s="122"/>
      <c r="I439" s="122"/>
      <c r="J439" s="89"/>
      <c r="L439" t="str">
        <f t="shared" si="33"/>
        <v/>
      </c>
      <c r="M439" t="str">
        <f t="shared" si="34"/>
        <v/>
      </c>
    </row>
    <row r="440" spans="1:13">
      <c r="A440" s="81" t="str">
        <f>IF(E440="","",VLOOKUP('OPĆI DIO'!$C$3,'OPĆI DIO'!$L$6:$U$138,10,FALSE))</f>
        <v/>
      </c>
      <c r="B440" s="81" t="str">
        <f>IF(E440="","",VLOOKUP('OPĆI DIO'!$C$3,'OPĆI DIO'!$L$6:$U$138,9,FALSE))</f>
        <v/>
      </c>
      <c r="C440" s="124" t="str">
        <f t="shared" si="30"/>
        <v/>
      </c>
      <c r="D440" s="80" t="str">
        <f t="shared" si="31"/>
        <v/>
      </c>
      <c r="E440" s="89"/>
      <c r="F440" s="128" t="str">
        <f t="shared" si="32"/>
        <v/>
      </c>
      <c r="G440" s="122"/>
      <c r="H440" s="122"/>
      <c r="I440" s="122"/>
      <c r="J440" s="89"/>
      <c r="L440" t="str">
        <f t="shared" si="33"/>
        <v/>
      </c>
      <c r="M440" t="str">
        <f t="shared" si="34"/>
        <v/>
      </c>
    </row>
    <row r="441" spans="1:13">
      <c r="A441" s="81" t="str">
        <f>IF(E441="","",VLOOKUP('OPĆI DIO'!$C$3,'OPĆI DIO'!$L$6:$U$138,10,FALSE))</f>
        <v/>
      </c>
      <c r="B441" s="81" t="str">
        <f>IF(E441="","",VLOOKUP('OPĆI DIO'!$C$3,'OPĆI DIO'!$L$6:$U$138,9,FALSE))</f>
        <v/>
      </c>
      <c r="C441" s="124" t="str">
        <f t="shared" si="30"/>
        <v/>
      </c>
      <c r="D441" s="80" t="str">
        <f t="shared" si="31"/>
        <v/>
      </c>
      <c r="E441" s="89"/>
      <c r="F441" s="128" t="str">
        <f t="shared" si="32"/>
        <v/>
      </c>
      <c r="G441" s="122"/>
      <c r="H441" s="122"/>
      <c r="I441" s="122"/>
      <c r="J441" s="89"/>
      <c r="L441" t="str">
        <f t="shared" si="33"/>
        <v/>
      </c>
      <c r="M441" t="str">
        <f t="shared" si="34"/>
        <v/>
      </c>
    </row>
    <row r="442" spans="1:13">
      <c r="A442" s="81" t="str">
        <f>IF(E442="","",VLOOKUP('OPĆI DIO'!$C$3,'OPĆI DIO'!$L$6:$U$138,10,FALSE))</f>
        <v/>
      </c>
      <c r="B442" s="81" t="str">
        <f>IF(E442="","",VLOOKUP('OPĆI DIO'!$C$3,'OPĆI DIO'!$L$6:$U$138,9,FALSE))</f>
        <v/>
      </c>
      <c r="C442" s="124" t="str">
        <f t="shared" si="30"/>
        <v/>
      </c>
      <c r="D442" s="80" t="str">
        <f t="shared" si="31"/>
        <v/>
      </c>
      <c r="E442" s="89"/>
      <c r="F442" s="128" t="str">
        <f t="shared" si="32"/>
        <v/>
      </c>
      <c r="G442" s="122"/>
      <c r="H442" s="122"/>
      <c r="I442" s="122"/>
      <c r="J442" s="89"/>
      <c r="L442" t="str">
        <f t="shared" si="33"/>
        <v/>
      </c>
      <c r="M442" t="str">
        <f t="shared" si="34"/>
        <v/>
      </c>
    </row>
    <row r="443" spans="1:13">
      <c r="A443" s="81" t="str">
        <f>IF(E443="","",VLOOKUP('OPĆI DIO'!$C$3,'OPĆI DIO'!$L$6:$U$138,10,FALSE))</f>
        <v/>
      </c>
      <c r="B443" s="81" t="str">
        <f>IF(E443="","",VLOOKUP('OPĆI DIO'!$C$3,'OPĆI DIO'!$L$6:$U$138,9,FALSE))</f>
        <v/>
      </c>
      <c r="C443" s="124" t="str">
        <f t="shared" si="30"/>
        <v/>
      </c>
      <c r="D443" s="80" t="str">
        <f t="shared" si="31"/>
        <v/>
      </c>
      <c r="E443" s="89"/>
      <c r="F443" s="128" t="str">
        <f t="shared" si="32"/>
        <v/>
      </c>
      <c r="G443" s="122"/>
      <c r="H443" s="122"/>
      <c r="I443" s="122"/>
      <c r="J443" s="89"/>
      <c r="L443" t="str">
        <f t="shared" si="33"/>
        <v/>
      </c>
      <c r="M443" t="str">
        <f t="shared" si="34"/>
        <v/>
      </c>
    </row>
    <row r="444" spans="1:13">
      <c r="A444" s="81" t="str">
        <f>IF(E444="","",VLOOKUP('OPĆI DIO'!$C$3,'OPĆI DIO'!$L$6:$U$138,10,FALSE))</f>
        <v/>
      </c>
      <c r="B444" s="81" t="str">
        <f>IF(E444="","",VLOOKUP('OPĆI DIO'!$C$3,'OPĆI DIO'!$L$6:$U$138,9,FALSE))</f>
        <v/>
      </c>
      <c r="C444" s="124" t="str">
        <f t="shared" si="30"/>
        <v/>
      </c>
      <c r="D444" s="80" t="str">
        <f t="shared" si="31"/>
        <v/>
      </c>
      <c r="E444" s="89"/>
      <c r="F444" s="128" t="str">
        <f t="shared" si="32"/>
        <v/>
      </c>
      <c r="G444" s="122"/>
      <c r="H444" s="122"/>
      <c r="I444" s="122"/>
      <c r="J444" s="89"/>
      <c r="L444" t="str">
        <f t="shared" si="33"/>
        <v/>
      </c>
      <c r="M444" t="str">
        <f t="shared" si="34"/>
        <v/>
      </c>
    </row>
    <row r="445" spans="1:13">
      <c r="A445" s="81" t="str">
        <f>IF(E445="","",VLOOKUP('OPĆI DIO'!$C$3,'OPĆI DIO'!$L$6:$U$138,10,FALSE))</f>
        <v/>
      </c>
      <c r="B445" s="81" t="str">
        <f>IF(E445="","",VLOOKUP('OPĆI DIO'!$C$3,'OPĆI DIO'!$L$6:$U$138,9,FALSE))</f>
        <v/>
      </c>
      <c r="C445" s="124" t="str">
        <f t="shared" si="30"/>
        <v/>
      </c>
      <c r="D445" s="80" t="str">
        <f t="shared" si="31"/>
        <v/>
      </c>
      <c r="E445" s="89"/>
      <c r="F445" s="128" t="str">
        <f t="shared" si="32"/>
        <v/>
      </c>
      <c r="G445" s="122"/>
      <c r="H445" s="122"/>
      <c r="I445" s="122"/>
      <c r="J445" s="89"/>
      <c r="L445" t="str">
        <f t="shared" si="33"/>
        <v/>
      </c>
      <c r="M445" t="str">
        <f t="shared" si="34"/>
        <v/>
      </c>
    </row>
    <row r="446" spans="1:13">
      <c r="A446" s="81" t="str">
        <f>IF(E446="","",VLOOKUP('OPĆI DIO'!$C$3,'OPĆI DIO'!$L$6:$U$138,10,FALSE))</f>
        <v/>
      </c>
      <c r="B446" s="81" t="str">
        <f>IF(E446="","",VLOOKUP('OPĆI DIO'!$C$3,'OPĆI DIO'!$L$6:$U$138,9,FALSE))</f>
        <v/>
      </c>
      <c r="C446" s="124" t="str">
        <f t="shared" si="30"/>
        <v/>
      </c>
      <c r="D446" s="80" t="str">
        <f t="shared" si="31"/>
        <v/>
      </c>
      <c r="E446" s="89"/>
      <c r="F446" s="128" t="str">
        <f t="shared" si="32"/>
        <v/>
      </c>
      <c r="G446" s="122"/>
      <c r="H446" s="122"/>
      <c r="I446" s="122"/>
      <c r="J446" s="89"/>
      <c r="L446" t="str">
        <f t="shared" si="33"/>
        <v/>
      </c>
      <c r="M446" t="str">
        <f t="shared" si="34"/>
        <v/>
      </c>
    </row>
    <row r="447" spans="1:13">
      <c r="A447" s="81" t="str">
        <f>IF(E447="","",VLOOKUP('OPĆI DIO'!$C$3,'OPĆI DIO'!$L$6:$U$138,10,FALSE))</f>
        <v/>
      </c>
      <c r="B447" s="81" t="str">
        <f>IF(E447="","",VLOOKUP('OPĆI DIO'!$C$3,'OPĆI DIO'!$L$6:$U$138,9,FALSE))</f>
        <v/>
      </c>
      <c r="C447" s="124" t="str">
        <f t="shared" si="30"/>
        <v/>
      </c>
      <c r="D447" s="80" t="str">
        <f t="shared" si="31"/>
        <v/>
      </c>
      <c r="E447" s="89"/>
      <c r="F447" s="128" t="str">
        <f t="shared" si="32"/>
        <v/>
      </c>
      <c r="G447" s="122"/>
      <c r="H447" s="122"/>
      <c r="I447" s="122"/>
      <c r="J447" s="89"/>
      <c r="L447" t="str">
        <f t="shared" si="33"/>
        <v/>
      </c>
      <c r="M447" t="str">
        <f t="shared" si="34"/>
        <v/>
      </c>
    </row>
    <row r="448" spans="1:13">
      <c r="A448" s="81" t="str">
        <f>IF(E448="","",VLOOKUP('OPĆI DIO'!$C$3,'OPĆI DIO'!$L$6:$U$138,10,FALSE))</f>
        <v/>
      </c>
      <c r="B448" s="81" t="str">
        <f>IF(E448="","",VLOOKUP('OPĆI DIO'!$C$3,'OPĆI DIO'!$L$6:$U$138,9,FALSE))</f>
        <v/>
      </c>
      <c r="C448" s="124" t="str">
        <f t="shared" si="30"/>
        <v/>
      </c>
      <c r="D448" s="80" t="str">
        <f t="shared" si="31"/>
        <v/>
      </c>
      <c r="E448" s="89"/>
      <c r="F448" s="128" t="str">
        <f t="shared" si="32"/>
        <v/>
      </c>
      <c r="G448" s="122"/>
      <c r="H448" s="122"/>
      <c r="I448" s="122"/>
      <c r="J448" s="89"/>
      <c r="L448" t="str">
        <f t="shared" si="33"/>
        <v/>
      </c>
      <c r="M448" t="str">
        <f t="shared" si="34"/>
        <v/>
      </c>
    </row>
    <row r="449" spans="1:13">
      <c r="A449" s="81" t="str">
        <f>IF(E449="","",VLOOKUP('OPĆI DIO'!$C$3,'OPĆI DIO'!$L$6:$U$138,10,FALSE))</f>
        <v/>
      </c>
      <c r="B449" s="81" t="str">
        <f>IF(E449="","",VLOOKUP('OPĆI DIO'!$C$3,'OPĆI DIO'!$L$6:$U$138,9,FALSE))</f>
        <v/>
      </c>
      <c r="C449" s="124" t="str">
        <f t="shared" si="30"/>
        <v/>
      </c>
      <c r="D449" s="80" t="str">
        <f t="shared" si="31"/>
        <v/>
      </c>
      <c r="E449" s="89"/>
      <c r="F449" s="128" t="str">
        <f t="shared" si="32"/>
        <v/>
      </c>
      <c r="G449" s="122"/>
      <c r="H449" s="122"/>
      <c r="I449" s="122"/>
      <c r="J449" s="89"/>
      <c r="L449" t="str">
        <f t="shared" si="33"/>
        <v/>
      </c>
      <c r="M449" t="str">
        <f t="shared" si="34"/>
        <v/>
      </c>
    </row>
    <row r="450" spans="1:13">
      <c r="A450" s="81" t="str">
        <f>IF(E450="","",VLOOKUP('OPĆI DIO'!$C$3,'OPĆI DIO'!$L$6:$U$138,10,FALSE))</f>
        <v/>
      </c>
      <c r="B450" s="81" t="str">
        <f>IF(E450="","",VLOOKUP('OPĆI DIO'!$C$3,'OPĆI DIO'!$L$6:$U$138,9,FALSE))</f>
        <v/>
      </c>
      <c r="C450" s="124" t="str">
        <f t="shared" si="30"/>
        <v/>
      </c>
      <c r="D450" s="80" t="str">
        <f t="shared" si="31"/>
        <v/>
      </c>
      <c r="E450" s="89"/>
      <c r="F450" s="128" t="str">
        <f t="shared" si="32"/>
        <v/>
      </c>
      <c r="G450" s="122"/>
      <c r="H450" s="122"/>
      <c r="I450" s="122"/>
      <c r="J450" s="89"/>
      <c r="L450" t="str">
        <f t="shared" si="33"/>
        <v/>
      </c>
      <c r="M450" t="str">
        <f t="shared" si="34"/>
        <v/>
      </c>
    </row>
    <row r="451" spans="1:13">
      <c r="A451" s="81" t="str">
        <f>IF(E451="","",VLOOKUP('OPĆI DIO'!$C$3,'OPĆI DIO'!$L$6:$U$138,10,FALSE))</f>
        <v/>
      </c>
      <c r="B451" s="81" t="str">
        <f>IF(E451="","",VLOOKUP('OPĆI DIO'!$C$3,'OPĆI DIO'!$L$6:$U$138,9,FALSE))</f>
        <v/>
      </c>
      <c r="C451" s="124" t="str">
        <f t="shared" ref="C451:C501" si="35">IFERROR(VLOOKUP(E451,$R$6:$U$108,3,FALSE),"")</f>
        <v/>
      </c>
      <c r="D451" s="80" t="str">
        <f t="shared" ref="D451:D501" si="36">IFERROR(VLOOKUP(E451,$R$6:$U$108,4,FALSE),"")</f>
        <v/>
      </c>
      <c r="E451" s="89"/>
      <c r="F451" s="128" t="str">
        <f t="shared" ref="F451:F501" si="37">IFERROR(VLOOKUP(E451,$R$6:$U$108,2,FALSE),"")</f>
        <v/>
      </c>
      <c r="G451" s="122"/>
      <c r="H451" s="122"/>
      <c r="I451" s="122"/>
      <c r="J451" s="89"/>
      <c r="L451" t="str">
        <f t="shared" si="33"/>
        <v/>
      </c>
      <c r="M451" t="str">
        <f t="shared" si="34"/>
        <v/>
      </c>
    </row>
    <row r="452" spans="1:13">
      <c r="A452" s="81" t="str">
        <f>IF(E452="","",VLOOKUP('OPĆI DIO'!$C$3,'OPĆI DIO'!$L$6:$U$138,10,FALSE))</f>
        <v/>
      </c>
      <c r="B452" s="81" t="str">
        <f>IF(E452="","",VLOOKUP('OPĆI DIO'!$C$3,'OPĆI DIO'!$L$6:$U$138,9,FALSE))</f>
        <v/>
      </c>
      <c r="C452" s="124" t="str">
        <f t="shared" si="35"/>
        <v/>
      </c>
      <c r="D452" s="80" t="str">
        <f t="shared" si="36"/>
        <v/>
      </c>
      <c r="E452" s="89"/>
      <c r="F452" s="128" t="str">
        <f t="shared" si="37"/>
        <v/>
      </c>
      <c r="G452" s="122"/>
      <c r="H452" s="122"/>
      <c r="I452" s="122"/>
      <c r="J452" s="89"/>
      <c r="L452" t="str">
        <f t="shared" ref="L452:L501" si="38">LEFT(E452,2)</f>
        <v/>
      </c>
      <c r="M452" t="str">
        <f t="shared" ref="M452:M501" si="39">LEFT(E452,3)</f>
        <v/>
      </c>
    </row>
    <row r="453" spans="1:13">
      <c r="A453" s="81" t="str">
        <f>IF(E453="","",VLOOKUP('OPĆI DIO'!$C$3,'OPĆI DIO'!$L$6:$U$138,10,FALSE))</f>
        <v/>
      </c>
      <c r="B453" s="81" t="str">
        <f>IF(E453="","",VLOOKUP('OPĆI DIO'!$C$3,'OPĆI DIO'!$L$6:$U$138,9,FALSE))</f>
        <v/>
      </c>
      <c r="C453" s="124" t="str">
        <f t="shared" si="35"/>
        <v/>
      </c>
      <c r="D453" s="80" t="str">
        <f t="shared" si="36"/>
        <v/>
      </c>
      <c r="E453" s="89"/>
      <c r="F453" s="128" t="str">
        <f t="shared" si="37"/>
        <v/>
      </c>
      <c r="G453" s="122"/>
      <c r="H453" s="122"/>
      <c r="I453" s="122"/>
      <c r="J453" s="89"/>
      <c r="L453" t="str">
        <f t="shared" si="38"/>
        <v/>
      </c>
      <c r="M453" t="str">
        <f t="shared" si="39"/>
        <v/>
      </c>
    </row>
    <row r="454" spans="1:13">
      <c r="A454" s="81" t="str">
        <f>IF(E454="","",VLOOKUP('OPĆI DIO'!$C$3,'OPĆI DIO'!$L$6:$U$138,10,FALSE))</f>
        <v/>
      </c>
      <c r="B454" s="81" t="str">
        <f>IF(E454="","",VLOOKUP('OPĆI DIO'!$C$3,'OPĆI DIO'!$L$6:$U$138,9,FALSE))</f>
        <v/>
      </c>
      <c r="C454" s="124" t="str">
        <f t="shared" si="35"/>
        <v/>
      </c>
      <c r="D454" s="80" t="str">
        <f t="shared" si="36"/>
        <v/>
      </c>
      <c r="E454" s="89"/>
      <c r="F454" s="128" t="str">
        <f t="shared" si="37"/>
        <v/>
      </c>
      <c r="G454" s="122"/>
      <c r="H454" s="122"/>
      <c r="I454" s="122"/>
      <c r="J454" s="89"/>
      <c r="L454" t="str">
        <f t="shared" si="38"/>
        <v/>
      </c>
      <c r="M454" t="str">
        <f t="shared" si="39"/>
        <v/>
      </c>
    </row>
    <row r="455" spans="1:13">
      <c r="A455" s="81" t="str">
        <f>IF(E455="","",VLOOKUP('OPĆI DIO'!$C$3,'OPĆI DIO'!$L$6:$U$138,10,FALSE))</f>
        <v/>
      </c>
      <c r="B455" s="81" t="str">
        <f>IF(E455="","",VLOOKUP('OPĆI DIO'!$C$3,'OPĆI DIO'!$L$6:$U$138,9,FALSE))</f>
        <v/>
      </c>
      <c r="C455" s="124" t="str">
        <f t="shared" si="35"/>
        <v/>
      </c>
      <c r="D455" s="80" t="str">
        <f t="shared" si="36"/>
        <v/>
      </c>
      <c r="E455" s="89"/>
      <c r="F455" s="128" t="str">
        <f t="shared" si="37"/>
        <v/>
      </c>
      <c r="G455" s="122"/>
      <c r="H455" s="122"/>
      <c r="I455" s="122"/>
      <c r="J455" s="89"/>
      <c r="L455" t="str">
        <f t="shared" si="38"/>
        <v/>
      </c>
      <c r="M455" t="str">
        <f t="shared" si="39"/>
        <v/>
      </c>
    </row>
    <row r="456" spans="1:13">
      <c r="A456" s="81" t="str">
        <f>IF(E456="","",VLOOKUP('OPĆI DIO'!$C$3,'OPĆI DIO'!$L$6:$U$138,10,FALSE))</f>
        <v/>
      </c>
      <c r="B456" s="81" t="str">
        <f>IF(E456="","",VLOOKUP('OPĆI DIO'!$C$3,'OPĆI DIO'!$L$6:$U$138,9,FALSE))</f>
        <v/>
      </c>
      <c r="C456" s="124" t="str">
        <f t="shared" si="35"/>
        <v/>
      </c>
      <c r="D456" s="80" t="str">
        <f t="shared" si="36"/>
        <v/>
      </c>
      <c r="E456" s="89"/>
      <c r="F456" s="128" t="str">
        <f t="shared" si="37"/>
        <v/>
      </c>
      <c r="G456" s="122"/>
      <c r="H456" s="122"/>
      <c r="I456" s="122"/>
      <c r="J456" s="89"/>
      <c r="L456" t="str">
        <f t="shared" si="38"/>
        <v/>
      </c>
      <c r="M456" t="str">
        <f t="shared" si="39"/>
        <v/>
      </c>
    </row>
    <row r="457" spans="1:13">
      <c r="A457" s="81" t="str">
        <f>IF(E457="","",VLOOKUP('OPĆI DIO'!$C$3,'OPĆI DIO'!$L$6:$U$138,10,FALSE))</f>
        <v/>
      </c>
      <c r="B457" s="81" t="str">
        <f>IF(E457="","",VLOOKUP('OPĆI DIO'!$C$3,'OPĆI DIO'!$L$6:$U$138,9,FALSE))</f>
        <v/>
      </c>
      <c r="C457" s="124" t="str">
        <f t="shared" si="35"/>
        <v/>
      </c>
      <c r="D457" s="80" t="str">
        <f t="shared" si="36"/>
        <v/>
      </c>
      <c r="E457" s="89"/>
      <c r="F457" s="128" t="str">
        <f t="shared" si="37"/>
        <v/>
      </c>
      <c r="G457" s="122"/>
      <c r="H457" s="122"/>
      <c r="I457" s="122"/>
      <c r="J457" s="89"/>
      <c r="L457" t="str">
        <f t="shared" si="38"/>
        <v/>
      </c>
      <c r="M457" t="str">
        <f t="shared" si="39"/>
        <v/>
      </c>
    </row>
    <row r="458" spans="1:13">
      <c r="A458" s="81" t="str">
        <f>IF(E458="","",VLOOKUP('OPĆI DIO'!$C$3,'OPĆI DIO'!$L$6:$U$138,10,FALSE))</f>
        <v/>
      </c>
      <c r="B458" s="81" t="str">
        <f>IF(E458="","",VLOOKUP('OPĆI DIO'!$C$3,'OPĆI DIO'!$L$6:$U$138,9,FALSE))</f>
        <v/>
      </c>
      <c r="C458" s="124" t="str">
        <f t="shared" si="35"/>
        <v/>
      </c>
      <c r="D458" s="80" t="str">
        <f t="shared" si="36"/>
        <v/>
      </c>
      <c r="E458" s="89"/>
      <c r="F458" s="128" t="str">
        <f t="shared" si="37"/>
        <v/>
      </c>
      <c r="G458" s="122"/>
      <c r="H458" s="122"/>
      <c r="I458" s="122"/>
      <c r="J458" s="89"/>
      <c r="L458" t="str">
        <f t="shared" si="38"/>
        <v/>
      </c>
      <c r="M458" t="str">
        <f t="shared" si="39"/>
        <v/>
      </c>
    </row>
    <row r="459" spans="1:13">
      <c r="A459" s="81" t="str">
        <f>IF(E459="","",VLOOKUP('OPĆI DIO'!$C$3,'OPĆI DIO'!$L$6:$U$138,10,FALSE))</f>
        <v/>
      </c>
      <c r="B459" s="81" t="str">
        <f>IF(E459="","",VLOOKUP('OPĆI DIO'!$C$3,'OPĆI DIO'!$L$6:$U$138,9,FALSE))</f>
        <v/>
      </c>
      <c r="C459" s="124" t="str">
        <f t="shared" si="35"/>
        <v/>
      </c>
      <c r="D459" s="80" t="str">
        <f t="shared" si="36"/>
        <v/>
      </c>
      <c r="E459" s="89"/>
      <c r="F459" s="128" t="str">
        <f t="shared" si="37"/>
        <v/>
      </c>
      <c r="G459" s="122"/>
      <c r="H459" s="122"/>
      <c r="I459" s="122"/>
      <c r="J459" s="89"/>
      <c r="L459" t="str">
        <f t="shared" si="38"/>
        <v/>
      </c>
      <c r="M459" t="str">
        <f t="shared" si="39"/>
        <v/>
      </c>
    </row>
    <row r="460" spans="1:13">
      <c r="A460" s="81" t="str">
        <f>IF(E460="","",VLOOKUP('OPĆI DIO'!$C$3,'OPĆI DIO'!$L$6:$U$138,10,FALSE))</f>
        <v/>
      </c>
      <c r="B460" s="81" t="str">
        <f>IF(E460="","",VLOOKUP('OPĆI DIO'!$C$3,'OPĆI DIO'!$L$6:$U$138,9,FALSE))</f>
        <v/>
      </c>
      <c r="C460" s="124" t="str">
        <f t="shared" si="35"/>
        <v/>
      </c>
      <c r="D460" s="80" t="str">
        <f t="shared" si="36"/>
        <v/>
      </c>
      <c r="E460" s="89"/>
      <c r="F460" s="128" t="str">
        <f t="shared" si="37"/>
        <v/>
      </c>
      <c r="G460" s="122"/>
      <c r="H460" s="122"/>
      <c r="I460" s="122"/>
      <c r="J460" s="89"/>
      <c r="L460" t="str">
        <f t="shared" si="38"/>
        <v/>
      </c>
      <c r="M460" t="str">
        <f t="shared" si="39"/>
        <v/>
      </c>
    </row>
    <row r="461" spans="1:13">
      <c r="A461" s="81" t="str">
        <f>IF(E461="","",VLOOKUP('OPĆI DIO'!$C$3,'OPĆI DIO'!$L$6:$U$138,10,FALSE))</f>
        <v/>
      </c>
      <c r="B461" s="81" t="str">
        <f>IF(E461="","",VLOOKUP('OPĆI DIO'!$C$3,'OPĆI DIO'!$L$6:$U$138,9,FALSE))</f>
        <v/>
      </c>
      <c r="C461" s="124" t="str">
        <f t="shared" si="35"/>
        <v/>
      </c>
      <c r="D461" s="80" t="str">
        <f t="shared" si="36"/>
        <v/>
      </c>
      <c r="E461" s="89"/>
      <c r="F461" s="128" t="str">
        <f t="shared" si="37"/>
        <v/>
      </c>
      <c r="G461" s="122"/>
      <c r="H461" s="122"/>
      <c r="I461" s="122"/>
      <c r="J461" s="89"/>
      <c r="L461" t="str">
        <f t="shared" si="38"/>
        <v/>
      </c>
      <c r="M461" t="str">
        <f t="shared" si="39"/>
        <v/>
      </c>
    </row>
    <row r="462" spans="1:13">
      <c r="A462" s="81" t="str">
        <f>IF(E462="","",VLOOKUP('OPĆI DIO'!$C$3,'OPĆI DIO'!$L$6:$U$138,10,FALSE))</f>
        <v/>
      </c>
      <c r="B462" s="81" t="str">
        <f>IF(E462="","",VLOOKUP('OPĆI DIO'!$C$3,'OPĆI DIO'!$L$6:$U$138,9,FALSE))</f>
        <v/>
      </c>
      <c r="C462" s="124" t="str">
        <f t="shared" si="35"/>
        <v/>
      </c>
      <c r="D462" s="80" t="str">
        <f t="shared" si="36"/>
        <v/>
      </c>
      <c r="E462" s="89"/>
      <c r="F462" s="128" t="str">
        <f t="shared" si="37"/>
        <v/>
      </c>
      <c r="G462" s="122"/>
      <c r="H462" s="122"/>
      <c r="I462" s="122"/>
      <c r="J462" s="89"/>
      <c r="L462" t="str">
        <f t="shared" si="38"/>
        <v/>
      </c>
      <c r="M462" t="str">
        <f t="shared" si="39"/>
        <v/>
      </c>
    </row>
    <row r="463" spans="1:13">
      <c r="A463" s="81" t="str">
        <f>IF(E463="","",VLOOKUP('OPĆI DIO'!$C$3,'OPĆI DIO'!$L$6:$U$138,10,FALSE))</f>
        <v/>
      </c>
      <c r="B463" s="81" t="str">
        <f>IF(E463="","",VLOOKUP('OPĆI DIO'!$C$3,'OPĆI DIO'!$L$6:$U$138,9,FALSE))</f>
        <v/>
      </c>
      <c r="C463" s="124" t="str">
        <f t="shared" si="35"/>
        <v/>
      </c>
      <c r="D463" s="80" t="str">
        <f t="shared" si="36"/>
        <v/>
      </c>
      <c r="E463" s="89"/>
      <c r="F463" s="128" t="str">
        <f t="shared" si="37"/>
        <v/>
      </c>
      <c r="G463" s="122"/>
      <c r="H463" s="122"/>
      <c r="I463" s="122"/>
      <c r="J463" s="89"/>
      <c r="L463" t="str">
        <f t="shared" si="38"/>
        <v/>
      </c>
      <c r="M463" t="str">
        <f t="shared" si="39"/>
        <v/>
      </c>
    </row>
    <row r="464" spans="1:13">
      <c r="A464" s="81" t="str">
        <f>IF(E464="","",VLOOKUP('OPĆI DIO'!$C$3,'OPĆI DIO'!$L$6:$U$138,10,FALSE))</f>
        <v/>
      </c>
      <c r="B464" s="81" t="str">
        <f>IF(E464="","",VLOOKUP('OPĆI DIO'!$C$3,'OPĆI DIO'!$L$6:$U$138,9,FALSE))</f>
        <v/>
      </c>
      <c r="C464" s="124" t="str">
        <f t="shared" si="35"/>
        <v/>
      </c>
      <c r="D464" s="80" t="str">
        <f t="shared" si="36"/>
        <v/>
      </c>
      <c r="E464" s="89"/>
      <c r="F464" s="128" t="str">
        <f t="shared" si="37"/>
        <v/>
      </c>
      <c r="G464" s="122"/>
      <c r="H464" s="122"/>
      <c r="I464" s="122"/>
      <c r="J464" s="89"/>
      <c r="L464" t="str">
        <f t="shared" si="38"/>
        <v/>
      </c>
      <c r="M464" t="str">
        <f t="shared" si="39"/>
        <v/>
      </c>
    </row>
    <row r="465" spans="1:13">
      <c r="A465" s="81" t="str">
        <f>IF(E465="","",VLOOKUP('OPĆI DIO'!$C$3,'OPĆI DIO'!$L$6:$U$138,10,FALSE))</f>
        <v/>
      </c>
      <c r="B465" s="81" t="str">
        <f>IF(E465="","",VLOOKUP('OPĆI DIO'!$C$3,'OPĆI DIO'!$L$6:$U$138,9,FALSE))</f>
        <v/>
      </c>
      <c r="C465" s="124" t="str">
        <f t="shared" si="35"/>
        <v/>
      </c>
      <c r="D465" s="80" t="str">
        <f t="shared" si="36"/>
        <v/>
      </c>
      <c r="E465" s="89"/>
      <c r="F465" s="128" t="str">
        <f t="shared" si="37"/>
        <v/>
      </c>
      <c r="G465" s="122"/>
      <c r="H465" s="122"/>
      <c r="I465" s="122"/>
      <c r="J465" s="89"/>
      <c r="L465" t="str">
        <f t="shared" si="38"/>
        <v/>
      </c>
      <c r="M465" t="str">
        <f t="shared" si="39"/>
        <v/>
      </c>
    </row>
    <row r="466" spans="1:13">
      <c r="A466" s="81" t="str">
        <f>IF(E466="","",VLOOKUP('OPĆI DIO'!$C$3,'OPĆI DIO'!$L$6:$U$138,10,FALSE))</f>
        <v/>
      </c>
      <c r="B466" s="81" t="str">
        <f>IF(E466="","",VLOOKUP('OPĆI DIO'!$C$3,'OPĆI DIO'!$L$6:$U$138,9,FALSE))</f>
        <v/>
      </c>
      <c r="C466" s="124" t="str">
        <f t="shared" si="35"/>
        <v/>
      </c>
      <c r="D466" s="80" t="str">
        <f t="shared" si="36"/>
        <v/>
      </c>
      <c r="E466" s="89"/>
      <c r="F466" s="128" t="str">
        <f t="shared" si="37"/>
        <v/>
      </c>
      <c r="G466" s="122"/>
      <c r="H466" s="122"/>
      <c r="I466" s="122"/>
      <c r="J466" s="89"/>
      <c r="L466" t="str">
        <f t="shared" si="38"/>
        <v/>
      </c>
      <c r="M466" t="str">
        <f t="shared" si="39"/>
        <v/>
      </c>
    </row>
    <row r="467" spans="1:13">
      <c r="A467" s="81" t="str">
        <f>IF(E467="","",VLOOKUP('OPĆI DIO'!$C$3,'OPĆI DIO'!$L$6:$U$138,10,FALSE))</f>
        <v/>
      </c>
      <c r="B467" s="81" t="str">
        <f>IF(E467="","",VLOOKUP('OPĆI DIO'!$C$3,'OPĆI DIO'!$L$6:$U$138,9,FALSE))</f>
        <v/>
      </c>
      <c r="C467" s="124" t="str">
        <f t="shared" si="35"/>
        <v/>
      </c>
      <c r="D467" s="80" t="str">
        <f t="shared" si="36"/>
        <v/>
      </c>
      <c r="E467" s="89"/>
      <c r="F467" s="128" t="str">
        <f t="shared" si="37"/>
        <v/>
      </c>
      <c r="G467" s="122"/>
      <c r="H467" s="122"/>
      <c r="I467" s="122"/>
      <c r="J467" s="89"/>
      <c r="L467" t="str">
        <f t="shared" si="38"/>
        <v/>
      </c>
      <c r="M467" t="str">
        <f t="shared" si="39"/>
        <v/>
      </c>
    </row>
    <row r="468" spans="1:13">
      <c r="A468" s="81" t="str">
        <f>IF(E468="","",VLOOKUP('OPĆI DIO'!$C$3,'OPĆI DIO'!$L$6:$U$138,10,FALSE))</f>
        <v/>
      </c>
      <c r="B468" s="81" t="str">
        <f>IF(E468="","",VLOOKUP('OPĆI DIO'!$C$3,'OPĆI DIO'!$L$6:$U$138,9,FALSE))</f>
        <v/>
      </c>
      <c r="C468" s="124" t="str">
        <f t="shared" si="35"/>
        <v/>
      </c>
      <c r="D468" s="80" t="str">
        <f t="shared" si="36"/>
        <v/>
      </c>
      <c r="E468" s="89"/>
      <c r="F468" s="128" t="str">
        <f t="shared" si="37"/>
        <v/>
      </c>
      <c r="G468" s="122"/>
      <c r="H468" s="122"/>
      <c r="I468" s="122"/>
      <c r="J468" s="89"/>
      <c r="L468" t="str">
        <f t="shared" si="38"/>
        <v/>
      </c>
      <c r="M468" t="str">
        <f t="shared" si="39"/>
        <v/>
      </c>
    </row>
    <row r="469" spans="1:13">
      <c r="A469" s="81" t="str">
        <f>IF(E469="","",VLOOKUP('OPĆI DIO'!$C$3,'OPĆI DIO'!$L$6:$U$138,10,FALSE))</f>
        <v/>
      </c>
      <c r="B469" s="81" t="str">
        <f>IF(E469="","",VLOOKUP('OPĆI DIO'!$C$3,'OPĆI DIO'!$L$6:$U$138,9,FALSE))</f>
        <v/>
      </c>
      <c r="C469" s="124" t="str">
        <f t="shared" si="35"/>
        <v/>
      </c>
      <c r="D469" s="80" t="str">
        <f t="shared" si="36"/>
        <v/>
      </c>
      <c r="E469" s="89"/>
      <c r="F469" s="128" t="str">
        <f t="shared" si="37"/>
        <v/>
      </c>
      <c r="G469" s="122"/>
      <c r="H469" s="122"/>
      <c r="I469" s="122"/>
      <c r="J469" s="89"/>
      <c r="L469" t="str">
        <f t="shared" si="38"/>
        <v/>
      </c>
      <c r="M469" t="str">
        <f t="shared" si="39"/>
        <v/>
      </c>
    </row>
    <row r="470" spans="1:13">
      <c r="A470" s="81" t="str">
        <f>IF(E470="","",VLOOKUP('OPĆI DIO'!$C$3,'OPĆI DIO'!$L$6:$U$138,10,FALSE))</f>
        <v/>
      </c>
      <c r="B470" s="81" t="str">
        <f>IF(E470="","",VLOOKUP('OPĆI DIO'!$C$3,'OPĆI DIO'!$L$6:$U$138,9,FALSE))</f>
        <v/>
      </c>
      <c r="C470" s="124" t="str">
        <f t="shared" si="35"/>
        <v/>
      </c>
      <c r="D470" s="80" t="str">
        <f t="shared" si="36"/>
        <v/>
      </c>
      <c r="E470" s="89"/>
      <c r="F470" s="128" t="str">
        <f t="shared" si="37"/>
        <v/>
      </c>
      <c r="G470" s="122"/>
      <c r="H470" s="122"/>
      <c r="I470" s="122"/>
      <c r="J470" s="89"/>
      <c r="L470" t="str">
        <f t="shared" si="38"/>
        <v/>
      </c>
      <c r="M470" t="str">
        <f t="shared" si="39"/>
        <v/>
      </c>
    </row>
    <row r="471" spans="1:13">
      <c r="A471" s="81" t="str">
        <f>IF(E471="","",VLOOKUP('OPĆI DIO'!$C$3,'OPĆI DIO'!$L$6:$U$138,10,FALSE))</f>
        <v/>
      </c>
      <c r="B471" s="81" t="str">
        <f>IF(E471="","",VLOOKUP('OPĆI DIO'!$C$3,'OPĆI DIO'!$L$6:$U$138,9,FALSE))</f>
        <v/>
      </c>
      <c r="C471" s="124" t="str">
        <f t="shared" si="35"/>
        <v/>
      </c>
      <c r="D471" s="80" t="str">
        <f t="shared" si="36"/>
        <v/>
      </c>
      <c r="E471" s="89"/>
      <c r="F471" s="128" t="str">
        <f t="shared" si="37"/>
        <v/>
      </c>
      <c r="G471" s="122"/>
      <c r="H471" s="122"/>
      <c r="I471" s="122"/>
      <c r="J471" s="89"/>
      <c r="L471" t="str">
        <f t="shared" si="38"/>
        <v/>
      </c>
      <c r="M471" t="str">
        <f t="shared" si="39"/>
        <v/>
      </c>
    </row>
    <row r="472" spans="1:13">
      <c r="A472" s="81" t="str">
        <f>IF(E472="","",VLOOKUP('OPĆI DIO'!$C$3,'OPĆI DIO'!$L$6:$U$138,10,FALSE))</f>
        <v/>
      </c>
      <c r="B472" s="81" t="str">
        <f>IF(E472="","",VLOOKUP('OPĆI DIO'!$C$3,'OPĆI DIO'!$L$6:$U$138,9,FALSE))</f>
        <v/>
      </c>
      <c r="C472" s="124" t="str">
        <f t="shared" si="35"/>
        <v/>
      </c>
      <c r="D472" s="80" t="str">
        <f t="shared" si="36"/>
        <v/>
      </c>
      <c r="E472" s="89"/>
      <c r="F472" s="128" t="str">
        <f t="shared" si="37"/>
        <v/>
      </c>
      <c r="G472" s="122"/>
      <c r="H472" s="122"/>
      <c r="I472" s="122"/>
      <c r="J472" s="89"/>
      <c r="L472" t="str">
        <f t="shared" si="38"/>
        <v/>
      </c>
      <c r="M472" t="str">
        <f t="shared" si="39"/>
        <v/>
      </c>
    </row>
    <row r="473" spans="1:13">
      <c r="A473" s="81" t="str">
        <f>IF(E473="","",VLOOKUP('OPĆI DIO'!$C$3,'OPĆI DIO'!$L$6:$U$138,10,FALSE))</f>
        <v/>
      </c>
      <c r="B473" s="81" t="str">
        <f>IF(E473="","",VLOOKUP('OPĆI DIO'!$C$3,'OPĆI DIO'!$L$6:$U$138,9,FALSE))</f>
        <v/>
      </c>
      <c r="C473" s="124" t="str">
        <f t="shared" si="35"/>
        <v/>
      </c>
      <c r="D473" s="80" t="str">
        <f t="shared" si="36"/>
        <v/>
      </c>
      <c r="E473" s="89"/>
      <c r="F473" s="128" t="str">
        <f t="shared" si="37"/>
        <v/>
      </c>
      <c r="G473" s="122"/>
      <c r="H473" s="122"/>
      <c r="I473" s="122"/>
      <c r="J473" s="89"/>
      <c r="L473" t="str">
        <f t="shared" si="38"/>
        <v/>
      </c>
      <c r="M473" t="str">
        <f t="shared" si="39"/>
        <v/>
      </c>
    </row>
    <row r="474" spans="1:13">
      <c r="A474" s="81" t="str">
        <f>IF(E474="","",VLOOKUP('OPĆI DIO'!$C$3,'OPĆI DIO'!$L$6:$U$138,10,FALSE))</f>
        <v/>
      </c>
      <c r="B474" s="81" t="str">
        <f>IF(E474="","",VLOOKUP('OPĆI DIO'!$C$3,'OPĆI DIO'!$L$6:$U$138,9,FALSE))</f>
        <v/>
      </c>
      <c r="C474" s="124" t="str">
        <f t="shared" si="35"/>
        <v/>
      </c>
      <c r="D474" s="80" t="str">
        <f t="shared" si="36"/>
        <v/>
      </c>
      <c r="E474" s="89"/>
      <c r="F474" s="128" t="str">
        <f t="shared" si="37"/>
        <v/>
      </c>
      <c r="G474" s="122"/>
      <c r="H474" s="122"/>
      <c r="I474" s="122"/>
      <c r="J474" s="89"/>
      <c r="L474" t="str">
        <f t="shared" si="38"/>
        <v/>
      </c>
      <c r="M474" t="str">
        <f t="shared" si="39"/>
        <v/>
      </c>
    </row>
    <row r="475" spans="1:13">
      <c r="A475" s="81" t="str">
        <f>IF(E475="","",VLOOKUP('OPĆI DIO'!$C$3,'OPĆI DIO'!$L$6:$U$138,10,FALSE))</f>
        <v/>
      </c>
      <c r="B475" s="81" t="str">
        <f>IF(E475="","",VLOOKUP('OPĆI DIO'!$C$3,'OPĆI DIO'!$L$6:$U$138,9,FALSE))</f>
        <v/>
      </c>
      <c r="C475" s="124" t="str">
        <f t="shared" si="35"/>
        <v/>
      </c>
      <c r="D475" s="80" t="str">
        <f t="shared" si="36"/>
        <v/>
      </c>
      <c r="E475" s="89"/>
      <c r="F475" s="128" t="str">
        <f t="shared" si="37"/>
        <v/>
      </c>
      <c r="G475" s="122"/>
      <c r="H475" s="122"/>
      <c r="I475" s="122"/>
      <c r="J475" s="89"/>
      <c r="L475" t="str">
        <f t="shared" si="38"/>
        <v/>
      </c>
      <c r="M475" t="str">
        <f t="shared" si="39"/>
        <v/>
      </c>
    </row>
    <row r="476" spans="1:13">
      <c r="A476" s="81" t="str">
        <f>IF(E476="","",VLOOKUP('OPĆI DIO'!$C$3,'OPĆI DIO'!$L$6:$U$138,10,FALSE))</f>
        <v/>
      </c>
      <c r="B476" s="81" t="str">
        <f>IF(E476="","",VLOOKUP('OPĆI DIO'!$C$3,'OPĆI DIO'!$L$6:$U$138,9,FALSE))</f>
        <v/>
      </c>
      <c r="C476" s="124" t="str">
        <f t="shared" si="35"/>
        <v/>
      </c>
      <c r="D476" s="80" t="str">
        <f t="shared" si="36"/>
        <v/>
      </c>
      <c r="E476" s="89"/>
      <c r="F476" s="128" t="str">
        <f t="shared" si="37"/>
        <v/>
      </c>
      <c r="G476" s="122"/>
      <c r="H476" s="122"/>
      <c r="I476" s="122"/>
      <c r="J476" s="89"/>
      <c r="L476" t="str">
        <f t="shared" si="38"/>
        <v/>
      </c>
      <c r="M476" t="str">
        <f t="shared" si="39"/>
        <v/>
      </c>
    </row>
    <row r="477" spans="1:13">
      <c r="A477" s="81" t="str">
        <f>IF(E477="","",VLOOKUP('OPĆI DIO'!$C$3,'OPĆI DIO'!$L$6:$U$138,10,FALSE))</f>
        <v/>
      </c>
      <c r="B477" s="81" t="str">
        <f>IF(E477="","",VLOOKUP('OPĆI DIO'!$C$3,'OPĆI DIO'!$L$6:$U$138,9,FALSE))</f>
        <v/>
      </c>
      <c r="C477" s="124" t="str">
        <f t="shared" si="35"/>
        <v/>
      </c>
      <c r="D477" s="80" t="str">
        <f t="shared" si="36"/>
        <v/>
      </c>
      <c r="E477" s="89"/>
      <c r="F477" s="128" t="str">
        <f t="shared" si="37"/>
        <v/>
      </c>
      <c r="G477" s="122"/>
      <c r="H477" s="122"/>
      <c r="I477" s="122"/>
      <c r="J477" s="89"/>
      <c r="L477" t="str">
        <f t="shared" si="38"/>
        <v/>
      </c>
      <c r="M477" t="str">
        <f t="shared" si="39"/>
        <v/>
      </c>
    </row>
    <row r="478" spans="1:13">
      <c r="A478" s="81" t="str">
        <f>IF(E478="","",VLOOKUP('OPĆI DIO'!$C$3,'OPĆI DIO'!$L$6:$U$138,10,FALSE))</f>
        <v/>
      </c>
      <c r="B478" s="81" t="str">
        <f>IF(E478="","",VLOOKUP('OPĆI DIO'!$C$3,'OPĆI DIO'!$L$6:$U$138,9,FALSE))</f>
        <v/>
      </c>
      <c r="C478" s="124" t="str">
        <f t="shared" si="35"/>
        <v/>
      </c>
      <c r="D478" s="80" t="str">
        <f t="shared" si="36"/>
        <v/>
      </c>
      <c r="E478" s="89"/>
      <c r="F478" s="128" t="str">
        <f t="shared" si="37"/>
        <v/>
      </c>
      <c r="G478" s="122"/>
      <c r="H478" s="122"/>
      <c r="I478" s="122"/>
      <c r="J478" s="89"/>
      <c r="L478" t="str">
        <f t="shared" si="38"/>
        <v/>
      </c>
      <c r="M478" t="str">
        <f t="shared" si="39"/>
        <v/>
      </c>
    </row>
    <row r="479" spans="1:13">
      <c r="A479" s="81" t="str">
        <f>IF(E479="","",VLOOKUP('OPĆI DIO'!$C$3,'OPĆI DIO'!$L$6:$U$138,10,FALSE))</f>
        <v/>
      </c>
      <c r="B479" s="81" t="str">
        <f>IF(E479="","",VLOOKUP('OPĆI DIO'!$C$3,'OPĆI DIO'!$L$6:$U$138,9,FALSE))</f>
        <v/>
      </c>
      <c r="C479" s="124" t="str">
        <f t="shared" si="35"/>
        <v/>
      </c>
      <c r="D479" s="80" t="str">
        <f t="shared" si="36"/>
        <v/>
      </c>
      <c r="E479" s="89"/>
      <c r="F479" s="128" t="str">
        <f t="shared" si="37"/>
        <v/>
      </c>
      <c r="G479" s="122"/>
      <c r="H479" s="122"/>
      <c r="I479" s="122"/>
      <c r="J479" s="89"/>
      <c r="L479" t="str">
        <f t="shared" si="38"/>
        <v/>
      </c>
      <c r="M479" t="str">
        <f t="shared" si="39"/>
        <v/>
      </c>
    </row>
    <row r="480" spans="1:13">
      <c r="A480" s="81" t="str">
        <f>IF(E480="","",VLOOKUP('OPĆI DIO'!$C$3,'OPĆI DIO'!$L$6:$U$138,10,FALSE))</f>
        <v/>
      </c>
      <c r="B480" s="81" t="str">
        <f>IF(E480="","",VLOOKUP('OPĆI DIO'!$C$3,'OPĆI DIO'!$L$6:$U$138,9,FALSE))</f>
        <v/>
      </c>
      <c r="C480" s="124" t="str">
        <f t="shared" si="35"/>
        <v/>
      </c>
      <c r="D480" s="80" t="str">
        <f t="shared" si="36"/>
        <v/>
      </c>
      <c r="E480" s="89"/>
      <c r="F480" s="128" t="str">
        <f t="shared" si="37"/>
        <v/>
      </c>
      <c r="G480" s="122"/>
      <c r="H480" s="122"/>
      <c r="I480" s="122"/>
      <c r="J480" s="89"/>
      <c r="L480" t="str">
        <f t="shared" si="38"/>
        <v/>
      </c>
      <c r="M480" t="str">
        <f t="shared" si="39"/>
        <v/>
      </c>
    </row>
    <row r="481" spans="1:13">
      <c r="A481" s="81" t="str">
        <f>IF(E481="","",VLOOKUP('OPĆI DIO'!$C$3,'OPĆI DIO'!$L$6:$U$138,10,FALSE))</f>
        <v/>
      </c>
      <c r="B481" s="81" t="str">
        <f>IF(E481="","",VLOOKUP('OPĆI DIO'!$C$3,'OPĆI DIO'!$L$6:$U$138,9,FALSE))</f>
        <v/>
      </c>
      <c r="C481" s="124" t="str">
        <f t="shared" si="35"/>
        <v/>
      </c>
      <c r="D481" s="80" t="str">
        <f t="shared" si="36"/>
        <v/>
      </c>
      <c r="E481" s="89"/>
      <c r="F481" s="128" t="str">
        <f t="shared" si="37"/>
        <v/>
      </c>
      <c r="G481" s="122"/>
      <c r="H481" s="122"/>
      <c r="I481" s="122"/>
      <c r="J481" s="89"/>
      <c r="L481" t="str">
        <f t="shared" si="38"/>
        <v/>
      </c>
      <c r="M481" t="str">
        <f t="shared" si="39"/>
        <v/>
      </c>
    </row>
    <row r="482" spans="1:13">
      <c r="A482" s="81" t="str">
        <f>IF(E482="","",VLOOKUP('OPĆI DIO'!$C$3,'OPĆI DIO'!$L$6:$U$138,10,FALSE))</f>
        <v/>
      </c>
      <c r="B482" s="81" t="str">
        <f>IF(E482="","",VLOOKUP('OPĆI DIO'!$C$3,'OPĆI DIO'!$L$6:$U$138,9,FALSE))</f>
        <v/>
      </c>
      <c r="C482" s="124" t="str">
        <f t="shared" si="35"/>
        <v/>
      </c>
      <c r="D482" s="80" t="str">
        <f t="shared" si="36"/>
        <v/>
      </c>
      <c r="E482" s="89"/>
      <c r="F482" s="128" t="str">
        <f t="shared" si="37"/>
        <v/>
      </c>
      <c r="G482" s="122"/>
      <c r="H482" s="122"/>
      <c r="I482" s="122"/>
      <c r="J482" s="89"/>
      <c r="L482" t="str">
        <f t="shared" si="38"/>
        <v/>
      </c>
      <c r="M482" t="str">
        <f t="shared" si="39"/>
        <v/>
      </c>
    </row>
    <row r="483" spans="1:13">
      <c r="A483" s="81" t="str">
        <f>IF(E483="","",VLOOKUP('OPĆI DIO'!$C$3,'OPĆI DIO'!$L$6:$U$138,10,FALSE))</f>
        <v/>
      </c>
      <c r="B483" s="81" t="str">
        <f>IF(E483="","",VLOOKUP('OPĆI DIO'!$C$3,'OPĆI DIO'!$L$6:$U$138,9,FALSE))</f>
        <v/>
      </c>
      <c r="C483" s="124" t="str">
        <f t="shared" si="35"/>
        <v/>
      </c>
      <c r="D483" s="80" t="str">
        <f t="shared" si="36"/>
        <v/>
      </c>
      <c r="E483" s="89"/>
      <c r="F483" s="128" t="str">
        <f t="shared" si="37"/>
        <v/>
      </c>
      <c r="G483" s="122"/>
      <c r="H483" s="122"/>
      <c r="I483" s="122"/>
      <c r="J483" s="89"/>
      <c r="L483" t="str">
        <f t="shared" si="38"/>
        <v/>
      </c>
      <c r="M483" t="str">
        <f t="shared" si="39"/>
        <v/>
      </c>
    </row>
    <row r="484" spans="1:13">
      <c r="A484" s="81" t="str">
        <f>IF(E484="","",VLOOKUP('OPĆI DIO'!$C$3,'OPĆI DIO'!$L$6:$U$138,10,FALSE))</f>
        <v/>
      </c>
      <c r="B484" s="81" t="str">
        <f>IF(E484="","",VLOOKUP('OPĆI DIO'!$C$3,'OPĆI DIO'!$L$6:$U$138,9,FALSE))</f>
        <v/>
      </c>
      <c r="C484" s="124" t="str">
        <f t="shared" si="35"/>
        <v/>
      </c>
      <c r="D484" s="80" t="str">
        <f t="shared" si="36"/>
        <v/>
      </c>
      <c r="E484" s="89"/>
      <c r="F484" s="128" t="str">
        <f t="shared" si="37"/>
        <v/>
      </c>
      <c r="G484" s="122"/>
      <c r="H484" s="122"/>
      <c r="I484" s="122"/>
      <c r="J484" s="89"/>
      <c r="L484" t="str">
        <f t="shared" si="38"/>
        <v/>
      </c>
      <c r="M484" t="str">
        <f t="shared" si="39"/>
        <v/>
      </c>
    </row>
    <row r="485" spans="1:13">
      <c r="A485" s="81" t="str">
        <f>IF(E485="","",VLOOKUP('OPĆI DIO'!$C$3,'OPĆI DIO'!$L$6:$U$138,10,FALSE))</f>
        <v/>
      </c>
      <c r="B485" s="81" t="str">
        <f>IF(E485="","",VLOOKUP('OPĆI DIO'!$C$3,'OPĆI DIO'!$L$6:$U$138,9,FALSE))</f>
        <v/>
      </c>
      <c r="C485" s="124" t="str">
        <f t="shared" si="35"/>
        <v/>
      </c>
      <c r="D485" s="80" t="str">
        <f t="shared" si="36"/>
        <v/>
      </c>
      <c r="E485" s="89"/>
      <c r="F485" s="128" t="str">
        <f t="shared" si="37"/>
        <v/>
      </c>
      <c r="G485" s="122"/>
      <c r="H485" s="122"/>
      <c r="I485" s="122"/>
      <c r="J485" s="89"/>
      <c r="L485" t="str">
        <f t="shared" si="38"/>
        <v/>
      </c>
      <c r="M485" t="str">
        <f t="shared" si="39"/>
        <v/>
      </c>
    </row>
    <row r="486" spans="1:13">
      <c r="A486" s="81" t="str">
        <f>IF(E486="","",VLOOKUP('OPĆI DIO'!$C$3,'OPĆI DIO'!$L$6:$U$138,10,FALSE))</f>
        <v/>
      </c>
      <c r="B486" s="81" t="str">
        <f>IF(E486="","",VLOOKUP('OPĆI DIO'!$C$3,'OPĆI DIO'!$L$6:$U$138,9,FALSE))</f>
        <v/>
      </c>
      <c r="C486" s="124" t="str">
        <f t="shared" si="35"/>
        <v/>
      </c>
      <c r="D486" s="80" t="str">
        <f t="shared" si="36"/>
        <v/>
      </c>
      <c r="E486" s="89"/>
      <c r="F486" s="128" t="str">
        <f t="shared" si="37"/>
        <v/>
      </c>
      <c r="G486" s="122"/>
      <c r="H486" s="122"/>
      <c r="I486" s="122"/>
      <c r="J486" s="89"/>
      <c r="L486" t="str">
        <f t="shared" si="38"/>
        <v/>
      </c>
      <c r="M486" t="str">
        <f t="shared" si="39"/>
        <v/>
      </c>
    </row>
    <row r="487" spans="1:13">
      <c r="A487" s="81" t="str">
        <f>IF(E487="","",VLOOKUP('OPĆI DIO'!$C$3,'OPĆI DIO'!$L$6:$U$138,10,FALSE))</f>
        <v/>
      </c>
      <c r="B487" s="81" t="str">
        <f>IF(E487="","",VLOOKUP('OPĆI DIO'!$C$3,'OPĆI DIO'!$L$6:$U$138,9,FALSE))</f>
        <v/>
      </c>
      <c r="C487" s="124" t="str">
        <f t="shared" si="35"/>
        <v/>
      </c>
      <c r="D487" s="80" t="str">
        <f t="shared" si="36"/>
        <v/>
      </c>
      <c r="E487" s="89"/>
      <c r="F487" s="128" t="str">
        <f t="shared" si="37"/>
        <v/>
      </c>
      <c r="G487" s="122"/>
      <c r="H487" s="122"/>
      <c r="I487" s="122"/>
      <c r="J487" s="89"/>
      <c r="L487" t="str">
        <f t="shared" si="38"/>
        <v/>
      </c>
      <c r="M487" t="str">
        <f t="shared" si="39"/>
        <v/>
      </c>
    </row>
    <row r="488" spans="1:13">
      <c r="A488" s="81" t="str">
        <f>IF(E488="","",VLOOKUP('OPĆI DIO'!$C$3,'OPĆI DIO'!$L$6:$U$138,10,FALSE))</f>
        <v/>
      </c>
      <c r="B488" s="81" t="str">
        <f>IF(E488="","",VLOOKUP('OPĆI DIO'!$C$3,'OPĆI DIO'!$L$6:$U$138,9,FALSE))</f>
        <v/>
      </c>
      <c r="C488" s="124" t="str">
        <f t="shared" si="35"/>
        <v/>
      </c>
      <c r="D488" s="80" t="str">
        <f t="shared" si="36"/>
        <v/>
      </c>
      <c r="E488" s="89"/>
      <c r="F488" s="128" t="str">
        <f t="shared" si="37"/>
        <v/>
      </c>
      <c r="G488" s="122"/>
      <c r="H488" s="122"/>
      <c r="I488" s="122"/>
      <c r="J488" s="89"/>
      <c r="L488" t="str">
        <f t="shared" si="38"/>
        <v/>
      </c>
      <c r="M488" t="str">
        <f t="shared" si="39"/>
        <v/>
      </c>
    </row>
    <row r="489" spans="1:13">
      <c r="A489" s="81" t="str">
        <f>IF(E489="","",VLOOKUP('OPĆI DIO'!$C$3,'OPĆI DIO'!$L$6:$U$138,10,FALSE))</f>
        <v/>
      </c>
      <c r="B489" s="81" t="str">
        <f>IF(E489="","",VLOOKUP('OPĆI DIO'!$C$3,'OPĆI DIO'!$L$6:$U$138,9,FALSE))</f>
        <v/>
      </c>
      <c r="C489" s="124" t="str">
        <f t="shared" si="35"/>
        <v/>
      </c>
      <c r="D489" s="80" t="str">
        <f t="shared" si="36"/>
        <v/>
      </c>
      <c r="E489" s="89"/>
      <c r="F489" s="128" t="str">
        <f t="shared" si="37"/>
        <v/>
      </c>
      <c r="G489" s="122"/>
      <c r="H489" s="122"/>
      <c r="I489" s="122"/>
      <c r="J489" s="89"/>
      <c r="L489" t="str">
        <f t="shared" si="38"/>
        <v/>
      </c>
      <c r="M489" t="str">
        <f t="shared" si="39"/>
        <v/>
      </c>
    </row>
    <row r="490" spans="1:13">
      <c r="A490" s="81" t="str">
        <f>IF(E490="","",VLOOKUP('OPĆI DIO'!$C$3,'OPĆI DIO'!$L$6:$U$138,10,FALSE))</f>
        <v/>
      </c>
      <c r="B490" s="81" t="str">
        <f>IF(E490="","",VLOOKUP('OPĆI DIO'!$C$3,'OPĆI DIO'!$L$6:$U$138,9,FALSE))</f>
        <v/>
      </c>
      <c r="C490" s="124" t="str">
        <f t="shared" si="35"/>
        <v/>
      </c>
      <c r="D490" s="80" t="str">
        <f t="shared" si="36"/>
        <v/>
      </c>
      <c r="E490" s="89"/>
      <c r="F490" s="128" t="str">
        <f t="shared" si="37"/>
        <v/>
      </c>
      <c r="G490" s="122"/>
      <c r="H490" s="122"/>
      <c r="I490" s="122"/>
      <c r="J490" s="89"/>
      <c r="L490" t="str">
        <f t="shared" si="38"/>
        <v/>
      </c>
      <c r="M490" t="str">
        <f t="shared" si="39"/>
        <v/>
      </c>
    </row>
    <row r="491" spans="1:13">
      <c r="A491" s="81" t="str">
        <f>IF(E491="","",VLOOKUP('OPĆI DIO'!$C$3,'OPĆI DIO'!$L$6:$U$138,10,FALSE))</f>
        <v/>
      </c>
      <c r="B491" s="81" t="str">
        <f>IF(E491="","",VLOOKUP('OPĆI DIO'!$C$3,'OPĆI DIO'!$L$6:$U$138,9,FALSE))</f>
        <v/>
      </c>
      <c r="C491" s="124" t="str">
        <f t="shared" si="35"/>
        <v/>
      </c>
      <c r="D491" s="80" t="str">
        <f t="shared" si="36"/>
        <v/>
      </c>
      <c r="E491" s="89"/>
      <c r="F491" s="128" t="str">
        <f t="shared" si="37"/>
        <v/>
      </c>
      <c r="G491" s="122"/>
      <c r="H491" s="122"/>
      <c r="I491" s="122"/>
      <c r="J491" s="89"/>
      <c r="L491" t="str">
        <f t="shared" si="38"/>
        <v/>
      </c>
      <c r="M491" t="str">
        <f t="shared" si="39"/>
        <v/>
      </c>
    </row>
    <row r="492" spans="1:13">
      <c r="A492" s="81" t="str">
        <f>IF(E492="","",VLOOKUP('OPĆI DIO'!$C$3,'OPĆI DIO'!$L$6:$U$138,10,FALSE))</f>
        <v/>
      </c>
      <c r="B492" s="81" t="str">
        <f>IF(E492="","",VLOOKUP('OPĆI DIO'!$C$3,'OPĆI DIO'!$L$6:$U$138,9,FALSE))</f>
        <v/>
      </c>
      <c r="C492" s="124" t="str">
        <f t="shared" si="35"/>
        <v/>
      </c>
      <c r="D492" s="80" t="str">
        <f t="shared" si="36"/>
        <v/>
      </c>
      <c r="E492" s="89"/>
      <c r="F492" s="128" t="str">
        <f t="shared" si="37"/>
        <v/>
      </c>
      <c r="G492" s="122"/>
      <c r="H492" s="122"/>
      <c r="I492" s="122"/>
      <c r="J492" s="89"/>
      <c r="L492" t="str">
        <f t="shared" si="38"/>
        <v/>
      </c>
      <c r="M492" t="str">
        <f t="shared" si="39"/>
        <v/>
      </c>
    </row>
    <row r="493" spans="1:13">
      <c r="A493" s="81" t="str">
        <f>IF(E493="","",VLOOKUP('OPĆI DIO'!$C$3,'OPĆI DIO'!$L$6:$U$138,10,FALSE))</f>
        <v/>
      </c>
      <c r="B493" s="81" t="str">
        <f>IF(E493="","",VLOOKUP('OPĆI DIO'!$C$3,'OPĆI DIO'!$L$6:$U$138,9,FALSE))</f>
        <v/>
      </c>
      <c r="C493" s="124" t="str">
        <f t="shared" si="35"/>
        <v/>
      </c>
      <c r="D493" s="80" t="str">
        <f t="shared" si="36"/>
        <v/>
      </c>
      <c r="E493" s="89"/>
      <c r="F493" s="128" t="str">
        <f t="shared" si="37"/>
        <v/>
      </c>
      <c r="G493" s="122"/>
      <c r="H493" s="122"/>
      <c r="I493" s="122"/>
      <c r="J493" s="89"/>
      <c r="L493" t="str">
        <f t="shared" si="38"/>
        <v/>
      </c>
      <c r="M493" t="str">
        <f t="shared" si="39"/>
        <v/>
      </c>
    </row>
    <row r="494" spans="1:13">
      <c r="A494" s="81" t="str">
        <f>IF(E494="","",VLOOKUP('OPĆI DIO'!$C$3,'OPĆI DIO'!$L$6:$U$138,10,FALSE))</f>
        <v/>
      </c>
      <c r="B494" s="81" t="str">
        <f>IF(E494="","",VLOOKUP('OPĆI DIO'!$C$3,'OPĆI DIO'!$L$6:$U$138,9,FALSE))</f>
        <v/>
      </c>
      <c r="C494" s="124" t="str">
        <f t="shared" si="35"/>
        <v/>
      </c>
      <c r="D494" s="80" t="str">
        <f t="shared" si="36"/>
        <v/>
      </c>
      <c r="E494" s="89"/>
      <c r="F494" s="128" t="str">
        <f t="shared" si="37"/>
        <v/>
      </c>
      <c r="G494" s="122"/>
      <c r="H494" s="122"/>
      <c r="I494" s="122"/>
      <c r="J494" s="89"/>
      <c r="L494" t="str">
        <f t="shared" si="38"/>
        <v/>
      </c>
      <c r="M494" t="str">
        <f t="shared" si="39"/>
        <v/>
      </c>
    </row>
    <row r="495" spans="1:13">
      <c r="A495" s="81" t="str">
        <f>IF(E495="","",VLOOKUP('OPĆI DIO'!$C$3,'OPĆI DIO'!$L$6:$U$138,10,FALSE))</f>
        <v/>
      </c>
      <c r="B495" s="81" t="str">
        <f>IF(E495="","",VLOOKUP('OPĆI DIO'!$C$3,'OPĆI DIO'!$L$6:$U$138,9,FALSE))</f>
        <v/>
      </c>
      <c r="C495" s="124" t="str">
        <f t="shared" si="35"/>
        <v/>
      </c>
      <c r="D495" s="80" t="str">
        <f t="shared" si="36"/>
        <v/>
      </c>
      <c r="E495" s="89"/>
      <c r="F495" s="128" t="str">
        <f t="shared" si="37"/>
        <v/>
      </c>
      <c r="G495" s="122"/>
      <c r="H495" s="122"/>
      <c r="I495" s="122"/>
      <c r="J495" s="89"/>
      <c r="L495" t="str">
        <f t="shared" si="38"/>
        <v/>
      </c>
      <c r="M495" t="str">
        <f t="shared" si="39"/>
        <v/>
      </c>
    </row>
    <row r="496" spans="1:13">
      <c r="A496" s="81" t="str">
        <f>IF(E496="","",VLOOKUP('OPĆI DIO'!$C$3,'OPĆI DIO'!$L$6:$U$138,10,FALSE))</f>
        <v/>
      </c>
      <c r="B496" s="81" t="str">
        <f>IF(E496="","",VLOOKUP('OPĆI DIO'!$C$3,'OPĆI DIO'!$L$6:$U$138,9,FALSE))</f>
        <v/>
      </c>
      <c r="C496" s="124" t="str">
        <f t="shared" si="35"/>
        <v/>
      </c>
      <c r="D496" s="80" t="str">
        <f t="shared" si="36"/>
        <v/>
      </c>
      <c r="E496" s="89"/>
      <c r="F496" s="128" t="str">
        <f t="shared" si="37"/>
        <v/>
      </c>
      <c r="G496" s="122"/>
      <c r="H496" s="122"/>
      <c r="I496" s="122"/>
      <c r="J496" s="89"/>
      <c r="L496" t="str">
        <f t="shared" si="38"/>
        <v/>
      </c>
      <c r="M496" t="str">
        <f t="shared" si="39"/>
        <v/>
      </c>
    </row>
    <row r="497" spans="1:13">
      <c r="A497" s="81" t="str">
        <f>IF(E497="","",VLOOKUP('OPĆI DIO'!$C$3,'OPĆI DIO'!$L$6:$U$138,10,FALSE))</f>
        <v/>
      </c>
      <c r="B497" s="81" t="str">
        <f>IF(E497="","",VLOOKUP('OPĆI DIO'!$C$3,'OPĆI DIO'!$L$6:$U$138,9,FALSE))</f>
        <v/>
      </c>
      <c r="C497" s="124" t="str">
        <f t="shared" si="35"/>
        <v/>
      </c>
      <c r="D497" s="80" t="str">
        <f t="shared" si="36"/>
        <v/>
      </c>
      <c r="E497" s="89"/>
      <c r="F497" s="128" t="str">
        <f t="shared" si="37"/>
        <v/>
      </c>
      <c r="G497" s="122"/>
      <c r="H497" s="122"/>
      <c r="I497" s="122"/>
      <c r="J497" s="89"/>
      <c r="L497" t="str">
        <f t="shared" si="38"/>
        <v/>
      </c>
      <c r="M497" t="str">
        <f t="shared" si="39"/>
        <v/>
      </c>
    </row>
    <row r="498" spans="1:13">
      <c r="A498" s="81" t="str">
        <f>IF(E498="","",VLOOKUP('OPĆI DIO'!$C$3,'OPĆI DIO'!$L$6:$U$138,10,FALSE))</f>
        <v/>
      </c>
      <c r="B498" s="81" t="str">
        <f>IF(E498="","",VLOOKUP('OPĆI DIO'!$C$3,'OPĆI DIO'!$L$6:$U$138,9,FALSE))</f>
        <v/>
      </c>
      <c r="C498" s="124" t="str">
        <f t="shared" si="35"/>
        <v/>
      </c>
      <c r="D498" s="80" t="str">
        <f t="shared" si="36"/>
        <v/>
      </c>
      <c r="E498" s="89"/>
      <c r="F498" s="128" t="str">
        <f t="shared" si="37"/>
        <v/>
      </c>
      <c r="G498" s="122"/>
      <c r="H498" s="122"/>
      <c r="I498" s="122"/>
      <c r="J498" s="89"/>
      <c r="L498" t="str">
        <f t="shared" si="38"/>
        <v/>
      </c>
      <c r="M498" t="str">
        <f t="shared" si="39"/>
        <v/>
      </c>
    </row>
    <row r="499" spans="1:13">
      <c r="A499" s="81" t="str">
        <f>IF(E499="","",VLOOKUP('OPĆI DIO'!$C$3,'OPĆI DIO'!$L$6:$U$138,10,FALSE))</f>
        <v/>
      </c>
      <c r="B499" s="81" t="str">
        <f>IF(E499="","",VLOOKUP('OPĆI DIO'!$C$3,'OPĆI DIO'!$L$6:$U$138,9,FALSE))</f>
        <v/>
      </c>
      <c r="C499" s="124" t="str">
        <f t="shared" si="35"/>
        <v/>
      </c>
      <c r="D499" s="80" t="str">
        <f t="shared" si="36"/>
        <v/>
      </c>
      <c r="E499" s="89"/>
      <c r="F499" s="128" t="str">
        <f t="shared" si="37"/>
        <v/>
      </c>
      <c r="G499" s="122"/>
      <c r="H499" s="122"/>
      <c r="I499" s="122"/>
      <c r="J499" s="89"/>
      <c r="L499" t="str">
        <f t="shared" si="38"/>
        <v/>
      </c>
      <c r="M499" t="str">
        <f t="shared" si="39"/>
        <v/>
      </c>
    </row>
    <row r="500" spans="1:13">
      <c r="A500" s="81" t="str">
        <f>IF(E500="","",VLOOKUP('OPĆI DIO'!$C$3,'OPĆI DIO'!$L$6:$U$138,10,FALSE))</f>
        <v/>
      </c>
      <c r="B500" s="81" t="str">
        <f>IF(E500="","",VLOOKUP('OPĆI DIO'!$C$3,'OPĆI DIO'!$L$6:$U$138,9,FALSE))</f>
        <v/>
      </c>
      <c r="C500" s="124" t="str">
        <f t="shared" si="35"/>
        <v/>
      </c>
      <c r="D500" s="80" t="str">
        <f t="shared" si="36"/>
        <v/>
      </c>
      <c r="E500" s="89"/>
      <c r="F500" s="128" t="str">
        <f t="shared" si="37"/>
        <v/>
      </c>
      <c r="G500" s="122"/>
      <c r="H500" s="122"/>
      <c r="I500" s="122"/>
      <c r="J500" s="89"/>
      <c r="L500" t="str">
        <f t="shared" si="38"/>
        <v/>
      </c>
      <c r="M500" t="str">
        <f t="shared" si="39"/>
        <v/>
      </c>
    </row>
    <row r="501" spans="1:13">
      <c r="A501" s="81" t="str">
        <f>IF(E501="","",VLOOKUP('OPĆI DIO'!$C$3,'OPĆI DIO'!$L$6:$U$138,10,FALSE))</f>
        <v/>
      </c>
      <c r="B501" s="81" t="str">
        <f>IF(E501="","",VLOOKUP('OPĆI DIO'!$C$3,'OPĆI DIO'!$L$6:$U$138,9,FALSE))</f>
        <v/>
      </c>
      <c r="C501" s="124" t="str">
        <f t="shared" si="35"/>
        <v/>
      </c>
      <c r="D501" s="80" t="str">
        <f t="shared" si="36"/>
        <v/>
      </c>
      <c r="E501" s="89"/>
      <c r="F501" s="128" t="str">
        <f t="shared" si="37"/>
        <v/>
      </c>
      <c r="G501" s="122"/>
      <c r="H501" s="122"/>
      <c r="I501" s="122"/>
      <c r="J501" s="89"/>
      <c r="L501" t="str">
        <f t="shared" si="38"/>
        <v/>
      </c>
      <c r="M501" t="str">
        <f t="shared" si="39"/>
        <v/>
      </c>
    </row>
    <row r="502" spans="1:13"/>
  </sheetData>
  <sheetProtection algorithmName="SHA-512" hashValue="bG8zhpi1MfXUny7rnFMmJFS4f330+7w5ftxoj85PfV/WlA6SYN83KEtkv0VSwkX+bE3YvPwQ78EiKxNd2uI90g==" saltValue="/17xYTV7AgudVPoK2CuABw==" spinCount="100000" sheet="1" selectLockedCells="1"/>
  <autoFilter ref="R5:V111" xr:uid="{00000000-0009-0000-0000-000001000000}"/>
  <sortState xmlns:xlrd2="http://schemas.microsoft.com/office/spreadsheetml/2017/richdata2" ref="R8:V105">
    <sortCondition ref="R8"/>
  </sortState>
  <dataConsolidate/>
  <mergeCells count="1">
    <mergeCell ref="A1:D1"/>
  </mergeCells>
  <phoneticPr fontId="37" type="noConversion"/>
  <conditionalFormatting sqref="J3:J499">
    <cfRule type="expression" dxfId="2" priority="1">
      <formula>IF(OR(E3=6391,E3=6392,E3=6393,E3=6394),1,0)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G502"/>
  <sheetViews>
    <sheetView showGridLines="0" topLeftCell="C1" zoomScale="130" zoomScaleNormal="130" workbookViewId="0">
      <pane ySplit="2" topLeftCell="A116" activePane="bottomLeft" state="frozen"/>
      <selection pane="bottomLeft" activeCell="J131" sqref="J131:L131"/>
    </sheetView>
  </sheetViews>
  <sheetFormatPr defaultColWidth="0" defaultRowHeight="15" zeroHeight="1"/>
  <cols>
    <col min="1" max="1" width="8.28515625" customWidth="1"/>
    <col min="2" max="2" width="20.28515625" customWidth="1"/>
    <col min="3" max="3" width="11.5703125" customWidth="1"/>
    <col min="4" max="4" width="33" customWidth="1"/>
    <col min="5" max="5" width="11.28515625" customWidth="1"/>
    <col min="6" max="6" width="21.85546875" customWidth="1"/>
    <col min="7" max="7" width="12.5703125" customWidth="1"/>
    <col min="8" max="8" width="36.7109375" customWidth="1"/>
    <col min="9" max="9" width="8.5703125" customWidth="1"/>
    <col min="10" max="10" width="16.42578125" style="7" customWidth="1"/>
    <col min="11" max="11" width="15.7109375" style="7" customWidth="1"/>
    <col min="12" max="12" width="15.140625" style="7" customWidth="1"/>
    <col min="13" max="13" width="46.42578125" style="7" customWidth="1"/>
    <col min="14" max="14" width="13.7109375" customWidth="1"/>
    <col min="15" max="19" width="9.140625" hidden="1" customWidth="1"/>
    <col min="20" max="20" width="46.5703125" hidden="1" customWidth="1"/>
    <col min="21" max="22" width="9.140625" hidden="1" customWidth="1"/>
    <col min="23" max="23" width="58.85546875" hidden="1" customWidth="1"/>
    <col min="24" max="24" width="0" hidden="1" customWidth="1"/>
    <col min="25" max="25" width="0" style="251" hidden="1" customWidth="1"/>
    <col min="26" max="33" width="0" hidden="1" customWidth="1"/>
    <col min="34" max="16384" width="9.140625" hidden="1"/>
  </cols>
  <sheetData>
    <row r="1" spans="1:33" ht="35.25" customHeight="1">
      <c r="A1" s="302" t="s">
        <v>5272</v>
      </c>
      <c r="B1" s="302"/>
      <c r="C1" s="302"/>
      <c r="D1" s="302"/>
      <c r="E1" s="127" t="str">
        <f>IF(OR('OPĆI DIO'!C3="odaberite -",'OPĆI DIO'!C3=""),"Molimo odaberite proračunskog korisnika na radnom listu Opći podaci!","")</f>
        <v/>
      </c>
      <c r="L1" s="282" t="s">
        <v>5269</v>
      </c>
    </row>
    <row r="2" spans="1:33" ht="36" customHeight="1">
      <c r="A2" s="83" t="s">
        <v>38</v>
      </c>
      <c r="B2" s="83" t="s">
        <v>39</v>
      </c>
      <c r="C2" s="87" t="s">
        <v>659</v>
      </c>
      <c r="D2" s="83" t="s">
        <v>41</v>
      </c>
      <c r="E2" s="87" t="s">
        <v>657</v>
      </c>
      <c r="F2" s="83" t="s">
        <v>658</v>
      </c>
      <c r="G2" s="87" t="s">
        <v>660</v>
      </c>
      <c r="H2" s="83" t="s">
        <v>43</v>
      </c>
      <c r="I2" s="83" t="s">
        <v>5113</v>
      </c>
      <c r="J2" s="129" t="s">
        <v>3025</v>
      </c>
      <c r="K2" s="129" t="s">
        <v>1779</v>
      </c>
      <c r="L2" s="129" t="s">
        <v>3024</v>
      </c>
      <c r="M2" s="246" t="s">
        <v>5081</v>
      </c>
      <c r="O2" s="84" t="s">
        <v>637</v>
      </c>
      <c r="P2" s="84" t="s">
        <v>638</v>
      </c>
      <c r="Q2" s="188" t="s">
        <v>3538</v>
      </c>
      <c r="R2" s="188"/>
    </row>
    <row r="3" spans="1:33">
      <c r="A3" s="85" t="str">
        <f>IF(C3="","",VLOOKUP('OPĆI DIO'!$C$3,'OPĆI DIO'!$L$6:$U$138,10,FALSE))</f>
        <v>08006</v>
      </c>
      <c r="B3" s="85" t="str">
        <f>IF(C3="","",VLOOKUP('OPĆI DIO'!$C$3,'OPĆI DIO'!$L$6:$U$138,9,FALSE))</f>
        <v>Sveučilišta i veleučilišta u Republici Hrvatskoj</v>
      </c>
      <c r="C3" s="90">
        <v>31</v>
      </c>
      <c r="D3" s="85" t="str">
        <f>IFERROR(VLOOKUP(C3,$S$6:$T$24,2,FALSE),"")</f>
        <v>Vlastiti prihodi</v>
      </c>
      <c r="E3" s="90">
        <v>3111</v>
      </c>
      <c r="F3" s="85" t="str">
        <f t="shared" ref="F3" si="0">IFERROR(VLOOKUP(E3,$V$5:$X$129,2,FALSE),"")</f>
        <v>Plaće za redovan rad</v>
      </c>
      <c r="G3" s="123" t="s">
        <v>145</v>
      </c>
      <c r="H3" s="85" t="str">
        <f>IFERROR(VLOOKUP(G3,$AB$6:$AC$327,2,FALSE),"")</f>
        <v>REDOVNA DJELATNOST SVEUČILIŠTA U ZAGREBU (IZ EVIDENCIJSKIH PRIHODA)</v>
      </c>
      <c r="I3" s="85" t="str">
        <f>IFERROR(VLOOKUP(G3,$AB$6:$AF$327,3,FALSE),"")</f>
        <v>0942</v>
      </c>
      <c r="J3" s="122">
        <v>72998</v>
      </c>
      <c r="K3" s="290">
        <v>75260</v>
      </c>
      <c r="L3" s="290">
        <v>77594</v>
      </c>
      <c r="M3" s="89"/>
      <c r="O3" t="str">
        <f>LEFT(E3,3)</f>
        <v>311</v>
      </c>
      <c r="P3" t="str">
        <f>LEFT(E3,2)</f>
        <v>31</v>
      </c>
      <c r="Q3" t="str">
        <f>LEFT(C3,3)</f>
        <v>31</v>
      </c>
      <c r="R3" t="str">
        <f>MID(I3,2,2)</f>
        <v>94</v>
      </c>
    </row>
    <row r="4" spans="1:33">
      <c r="A4" s="85" t="str">
        <f>IF(C4="","",VLOOKUP('OPĆI DIO'!$C$3,'OPĆI DIO'!$L$6:$U$138,10,FALSE))</f>
        <v>08006</v>
      </c>
      <c r="B4" s="85" t="str">
        <f>IF(C4="","",VLOOKUP('OPĆI DIO'!$C$3,'OPĆI DIO'!$L$6:$U$138,9,FALSE))</f>
        <v>Sveučilišta i veleučilišta u Republici Hrvatskoj</v>
      </c>
      <c r="C4" s="90">
        <v>31</v>
      </c>
      <c r="D4" s="85" t="str">
        <f t="shared" ref="D4:D66" si="1">IFERROR(VLOOKUP(C4,$S$6:$T$24,2,FALSE),"")</f>
        <v>Vlastiti prihodi</v>
      </c>
      <c r="E4" s="90">
        <v>3121</v>
      </c>
      <c r="F4" s="85" t="str">
        <f t="shared" ref="F4:F67" si="2">IFERROR(VLOOKUP(E4,$V$5:$X$129,2,FALSE),"")</f>
        <v>Ostali rashodi za zaposlene</v>
      </c>
      <c r="G4" s="123" t="s">
        <v>145</v>
      </c>
      <c r="H4" s="85" t="str">
        <f t="shared" ref="H4:H67" si="3">IFERROR(VLOOKUP(G4,$AB$6:$AC$327,2,FALSE),"")</f>
        <v>REDOVNA DJELATNOST SVEUČILIŠTA U ZAGREBU (IZ EVIDENCIJSKIH PRIHODA)</v>
      </c>
      <c r="I4" s="85" t="str">
        <f t="shared" ref="I4:I67" si="4">IFERROR(VLOOKUP(G4,$AB$6:$AF$327,3,FALSE),"")</f>
        <v>0942</v>
      </c>
      <c r="J4" s="122">
        <v>3982</v>
      </c>
      <c r="K4" s="290">
        <v>4105</v>
      </c>
      <c r="L4" s="290">
        <v>4232</v>
      </c>
      <c r="M4" s="89"/>
      <c r="O4" t="str">
        <f t="shared" ref="O4:O67" si="5">LEFT(E4,3)</f>
        <v>312</v>
      </c>
      <c r="P4" t="str">
        <f t="shared" ref="P4:P67" si="6">LEFT(E4,2)</f>
        <v>31</v>
      </c>
      <c r="Q4" t="str">
        <f t="shared" ref="Q4:Q67" si="7">LEFT(C4,3)</f>
        <v>31</v>
      </c>
      <c r="R4" t="str">
        <f t="shared" ref="R4:R67" si="8">MID(I4,2,2)</f>
        <v>94</v>
      </c>
      <c r="V4" s="86"/>
      <c r="W4" s="86"/>
    </row>
    <row r="5" spans="1:33">
      <c r="A5" s="85" t="str">
        <f>IF(C5="","",VLOOKUP('OPĆI DIO'!$C$3,'OPĆI DIO'!$L$6:$U$138,10,FALSE))</f>
        <v>08006</v>
      </c>
      <c r="B5" s="85" t="str">
        <f>IF(C5="","",VLOOKUP('OPĆI DIO'!$C$3,'OPĆI DIO'!$L$6:$U$138,9,FALSE))</f>
        <v>Sveučilišta i veleučilišta u Republici Hrvatskoj</v>
      </c>
      <c r="C5" s="90">
        <v>31</v>
      </c>
      <c r="D5" s="85" t="str">
        <f t="shared" si="1"/>
        <v>Vlastiti prihodi</v>
      </c>
      <c r="E5" s="90">
        <v>3132</v>
      </c>
      <c r="F5" s="85" t="str">
        <f t="shared" si="2"/>
        <v>Doprinosi za obvezno zdravstveno osiguranje</v>
      </c>
      <c r="G5" s="123" t="s">
        <v>145</v>
      </c>
      <c r="H5" s="85" t="str">
        <f t="shared" si="3"/>
        <v>REDOVNA DJELATNOST SVEUČILIŠTA U ZAGREBU (IZ EVIDENCIJSKIH PRIHODA)</v>
      </c>
      <c r="I5" s="85" t="str">
        <f t="shared" si="4"/>
        <v>0942</v>
      </c>
      <c r="J5" s="122">
        <v>12045</v>
      </c>
      <c r="K5" s="290">
        <v>12418</v>
      </c>
      <c r="L5" s="290">
        <v>12803</v>
      </c>
      <c r="M5" s="89"/>
      <c r="O5" t="str">
        <f t="shared" si="5"/>
        <v>313</v>
      </c>
      <c r="P5" t="str">
        <f t="shared" si="6"/>
        <v>31</v>
      </c>
      <c r="Q5" t="str">
        <f t="shared" si="7"/>
        <v>31</v>
      </c>
      <c r="R5" t="str">
        <f t="shared" si="8"/>
        <v>94</v>
      </c>
      <c r="S5" t="s">
        <v>40</v>
      </c>
      <c r="T5" t="s">
        <v>41</v>
      </c>
      <c r="V5">
        <v>3111</v>
      </c>
      <c r="W5" t="s">
        <v>47</v>
      </c>
      <c r="Y5" s="251" t="str">
        <f>LEFT(V5,2)</f>
        <v>31</v>
      </c>
      <c r="Z5" t="str">
        <f>LEFT(V5,3)</f>
        <v>311</v>
      </c>
      <c r="AB5" t="s">
        <v>42</v>
      </c>
      <c r="AC5" t="s">
        <v>43</v>
      </c>
    </row>
    <row r="6" spans="1:33">
      <c r="A6" s="85" t="str">
        <f>IF(C6="","",VLOOKUP('OPĆI DIO'!$C$3,'OPĆI DIO'!$L$6:$U$138,10,FALSE))</f>
        <v>08006</v>
      </c>
      <c r="B6" s="85" t="str">
        <f>IF(C6="","",VLOOKUP('OPĆI DIO'!$C$3,'OPĆI DIO'!$L$6:$U$138,9,FALSE))</f>
        <v>Sveučilišta i veleučilišta u Republici Hrvatskoj</v>
      </c>
      <c r="C6" s="90">
        <v>31</v>
      </c>
      <c r="D6" s="85" t="str">
        <f t="shared" si="1"/>
        <v>Vlastiti prihodi</v>
      </c>
      <c r="E6" s="90">
        <v>3211</v>
      </c>
      <c r="F6" s="85" t="str">
        <f t="shared" si="2"/>
        <v>Službena putovanja</v>
      </c>
      <c r="G6" s="123" t="s">
        <v>145</v>
      </c>
      <c r="H6" s="85" t="str">
        <f t="shared" si="3"/>
        <v>REDOVNA DJELATNOST SVEUČILIŠTA U ZAGREBU (IZ EVIDENCIJSKIH PRIHODA)</v>
      </c>
      <c r="I6" s="85" t="str">
        <f t="shared" si="4"/>
        <v>0942</v>
      </c>
      <c r="J6" s="122">
        <v>405</v>
      </c>
      <c r="K6" s="290">
        <v>417</v>
      </c>
      <c r="L6" s="290">
        <v>430</v>
      </c>
      <c r="M6" s="89"/>
      <c r="O6" t="str">
        <f t="shared" si="5"/>
        <v>321</v>
      </c>
      <c r="P6" t="str">
        <f t="shared" si="6"/>
        <v>32</v>
      </c>
      <c r="Q6" t="str">
        <f t="shared" si="7"/>
        <v>31</v>
      </c>
      <c r="R6" t="str">
        <f t="shared" si="8"/>
        <v>94</v>
      </c>
      <c r="S6">
        <v>11</v>
      </c>
      <c r="T6" t="s">
        <v>46</v>
      </c>
      <c r="V6">
        <v>3112</v>
      </c>
      <c r="W6" t="s">
        <v>146</v>
      </c>
      <c r="Y6" s="251" t="str">
        <f>LEFT(V6,2)</f>
        <v>31</v>
      </c>
      <c r="Z6" t="str">
        <f>LEFT(V6,3)</f>
        <v>311</v>
      </c>
      <c r="AB6" t="s">
        <v>1234</v>
      </c>
      <c r="AC6" t="s">
        <v>1234</v>
      </c>
      <c r="AD6" t="s">
        <v>1234</v>
      </c>
      <c r="AE6" t="s">
        <v>1234</v>
      </c>
      <c r="AF6" t="s">
        <v>1234</v>
      </c>
      <c r="AG6" t="s">
        <v>1234</v>
      </c>
    </row>
    <row r="7" spans="1:33">
      <c r="A7" s="85" t="str">
        <f>IF(C7="","",VLOOKUP('OPĆI DIO'!$C$3,'OPĆI DIO'!$L$6:$U$138,10,FALSE))</f>
        <v>08006</v>
      </c>
      <c r="B7" s="85" t="str">
        <f>IF(C7="","",VLOOKUP('OPĆI DIO'!$C$3,'OPĆI DIO'!$L$6:$U$138,9,FALSE))</f>
        <v>Sveučilišta i veleučilišta u Republici Hrvatskoj</v>
      </c>
      <c r="C7" s="90">
        <v>31</v>
      </c>
      <c r="D7" s="85" t="str">
        <f t="shared" si="1"/>
        <v>Vlastiti prihodi</v>
      </c>
      <c r="E7" s="90">
        <v>3212</v>
      </c>
      <c r="F7" s="85" t="str">
        <f t="shared" si="2"/>
        <v>Naknade za prijevoz, za rad na terenu i odvojeni život</v>
      </c>
      <c r="G7" s="123" t="s">
        <v>145</v>
      </c>
      <c r="H7" s="85" t="str">
        <f t="shared" si="3"/>
        <v>REDOVNA DJELATNOST SVEUČILIŠTA U ZAGREBU (IZ EVIDENCIJSKIH PRIHODA)</v>
      </c>
      <c r="I7" s="85" t="str">
        <f t="shared" si="4"/>
        <v>0942</v>
      </c>
      <c r="J7" s="122">
        <v>133</v>
      </c>
      <c r="K7" s="290">
        <v>137</v>
      </c>
      <c r="L7" s="290">
        <v>141</v>
      </c>
      <c r="M7" s="89"/>
      <c r="O7" t="str">
        <f t="shared" si="5"/>
        <v>321</v>
      </c>
      <c r="P7" t="str">
        <f t="shared" si="6"/>
        <v>32</v>
      </c>
      <c r="Q7" t="str">
        <f t="shared" si="7"/>
        <v>31</v>
      </c>
      <c r="R7" t="str">
        <f t="shared" si="8"/>
        <v>94</v>
      </c>
      <c r="S7">
        <v>12</v>
      </c>
      <c r="T7" t="s">
        <v>232</v>
      </c>
      <c r="V7">
        <v>3113</v>
      </c>
      <c r="W7" t="s">
        <v>125</v>
      </c>
      <c r="Y7" s="251" t="str">
        <f>LEFT(V7,2)</f>
        <v>31</v>
      </c>
      <c r="Z7" t="str">
        <f>LEFT(V7,3)</f>
        <v>311</v>
      </c>
      <c r="AB7" t="s">
        <v>1794</v>
      </c>
      <c r="AC7" t="s">
        <v>1795</v>
      </c>
      <c r="AD7" t="s">
        <v>5151</v>
      </c>
      <c r="AE7" t="s">
        <v>5152</v>
      </c>
      <c r="AF7" t="s">
        <v>5177</v>
      </c>
      <c r="AG7" t="s">
        <v>5184</v>
      </c>
    </row>
    <row r="8" spans="1:33">
      <c r="A8" s="85" t="str">
        <f>IF(C8="","",VLOOKUP('OPĆI DIO'!$C$3,'OPĆI DIO'!$L$6:$U$138,10,FALSE))</f>
        <v>08006</v>
      </c>
      <c r="B8" s="85" t="str">
        <f>IF(C8="","",VLOOKUP('OPĆI DIO'!$C$3,'OPĆI DIO'!$L$6:$U$138,9,FALSE))</f>
        <v>Sveučilišta i veleučilišta u Republici Hrvatskoj</v>
      </c>
      <c r="C8" s="90">
        <v>31</v>
      </c>
      <c r="D8" s="85" t="str">
        <f t="shared" si="1"/>
        <v>Vlastiti prihodi</v>
      </c>
      <c r="E8" s="90">
        <v>3213</v>
      </c>
      <c r="F8" s="85" t="str">
        <f t="shared" si="2"/>
        <v>Stručno usavršavanje zaposlenika</v>
      </c>
      <c r="G8" s="123" t="s">
        <v>145</v>
      </c>
      <c r="H8" s="85" t="str">
        <f t="shared" si="3"/>
        <v>REDOVNA DJELATNOST SVEUČILIŠTA U ZAGREBU (IZ EVIDENCIJSKIH PRIHODA)</v>
      </c>
      <c r="I8" s="85" t="str">
        <f t="shared" si="4"/>
        <v>0942</v>
      </c>
      <c r="J8" s="122">
        <v>2741</v>
      </c>
      <c r="K8" s="290">
        <v>2826</v>
      </c>
      <c r="L8" s="290">
        <v>2913</v>
      </c>
      <c r="M8" s="89"/>
      <c r="O8" t="str">
        <f t="shared" si="5"/>
        <v>321</v>
      </c>
      <c r="P8" t="str">
        <f t="shared" si="6"/>
        <v>32</v>
      </c>
      <c r="Q8" t="str">
        <f t="shared" si="7"/>
        <v>31</v>
      </c>
      <c r="R8" t="str">
        <f t="shared" si="8"/>
        <v>94</v>
      </c>
      <c r="S8">
        <v>31</v>
      </c>
      <c r="T8" t="s">
        <v>91</v>
      </c>
      <c r="V8">
        <v>3114</v>
      </c>
      <c r="W8" t="s">
        <v>147</v>
      </c>
      <c r="Y8" s="251" t="str">
        <f>LEFT(V8,2)</f>
        <v>31</v>
      </c>
      <c r="Z8" t="str">
        <f>LEFT(V8,3)</f>
        <v>311</v>
      </c>
      <c r="AB8" t="s">
        <v>1796</v>
      </c>
      <c r="AC8" t="s">
        <v>1797</v>
      </c>
      <c r="AD8" t="s">
        <v>5153</v>
      </c>
      <c r="AE8" t="s">
        <v>5154</v>
      </c>
      <c r="AF8" t="s">
        <v>5179</v>
      </c>
      <c r="AG8" t="s">
        <v>5180</v>
      </c>
    </row>
    <row r="9" spans="1:33">
      <c r="A9" s="85" t="str">
        <f>IF(C9="","",VLOOKUP('OPĆI DIO'!$C$3,'OPĆI DIO'!$L$6:$U$138,10,FALSE))</f>
        <v>08006</v>
      </c>
      <c r="B9" s="85" t="str">
        <f>IF(C9="","",VLOOKUP('OPĆI DIO'!$C$3,'OPĆI DIO'!$L$6:$U$138,9,FALSE))</f>
        <v>Sveučilišta i veleučilišta u Republici Hrvatskoj</v>
      </c>
      <c r="C9" s="90">
        <v>31</v>
      </c>
      <c r="D9" s="85" t="str">
        <f t="shared" si="1"/>
        <v>Vlastiti prihodi</v>
      </c>
      <c r="E9" s="90">
        <v>3214</v>
      </c>
      <c r="F9" s="85" t="str">
        <f t="shared" si="2"/>
        <v>Ostale naknade troškova zaposlenima</v>
      </c>
      <c r="G9" s="123" t="s">
        <v>145</v>
      </c>
      <c r="H9" s="85" t="str">
        <f t="shared" si="3"/>
        <v>REDOVNA DJELATNOST SVEUČILIŠTA U ZAGREBU (IZ EVIDENCIJSKIH PRIHODA)</v>
      </c>
      <c r="I9" s="85" t="str">
        <f t="shared" si="4"/>
        <v>0942</v>
      </c>
      <c r="J9" s="122">
        <v>2654</v>
      </c>
      <c r="K9" s="290">
        <v>2737</v>
      </c>
      <c r="L9" s="290">
        <v>2822</v>
      </c>
      <c r="M9" s="89"/>
      <c r="O9" t="str">
        <f t="shared" si="5"/>
        <v>321</v>
      </c>
      <c r="P9" t="str">
        <f t="shared" si="6"/>
        <v>32</v>
      </c>
      <c r="Q9" t="str">
        <f t="shared" si="7"/>
        <v>31</v>
      </c>
      <c r="R9" t="str">
        <f t="shared" si="8"/>
        <v>94</v>
      </c>
      <c r="S9">
        <v>41</v>
      </c>
      <c r="T9" t="s">
        <v>1209</v>
      </c>
      <c r="V9">
        <v>3121</v>
      </c>
      <c r="W9" t="s">
        <v>50</v>
      </c>
      <c r="Y9" s="251" t="str">
        <f>LEFT(V9,2)</f>
        <v>31</v>
      </c>
      <c r="Z9" t="str">
        <f>LEFT(V9,3)</f>
        <v>312</v>
      </c>
      <c r="AB9" t="s">
        <v>1798</v>
      </c>
      <c r="AC9" t="s">
        <v>1799</v>
      </c>
      <c r="AD9" t="s">
        <v>5155</v>
      </c>
      <c r="AE9" t="s">
        <v>5156</v>
      </c>
      <c r="AF9" t="s">
        <v>5177</v>
      </c>
      <c r="AG9" t="s">
        <v>5187</v>
      </c>
    </row>
    <row r="10" spans="1:33">
      <c r="A10" s="85" t="str">
        <f>IF(C10="","",VLOOKUP('OPĆI DIO'!$C$3,'OPĆI DIO'!$L$6:$U$138,10,FALSE))</f>
        <v>08006</v>
      </c>
      <c r="B10" s="85" t="str">
        <f>IF(C10="","",VLOOKUP('OPĆI DIO'!$C$3,'OPĆI DIO'!$L$6:$U$138,9,FALSE))</f>
        <v>Sveučilišta i veleučilišta u Republici Hrvatskoj</v>
      </c>
      <c r="C10" s="90">
        <v>31</v>
      </c>
      <c r="D10" s="85" t="str">
        <f t="shared" si="1"/>
        <v>Vlastiti prihodi</v>
      </c>
      <c r="E10" s="90">
        <v>3221</v>
      </c>
      <c r="F10" s="85" t="str">
        <f t="shared" si="2"/>
        <v>Uredski materijal i ostali materijalni rashodi</v>
      </c>
      <c r="G10" s="123" t="s">
        <v>145</v>
      </c>
      <c r="H10" s="85" t="str">
        <f t="shared" si="3"/>
        <v>REDOVNA DJELATNOST SVEUČILIŠTA U ZAGREBU (IZ EVIDENCIJSKIH PRIHODA)</v>
      </c>
      <c r="I10" s="85" t="str">
        <f t="shared" si="4"/>
        <v>0942</v>
      </c>
      <c r="J10" s="122">
        <v>6636</v>
      </c>
      <c r="K10" s="290">
        <v>6842</v>
      </c>
      <c r="L10" s="290">
        <v>7054</v>
      </c>
      <c r="M10" s="89"/>
      <c r="O10" t="str">
        <f t="shared" si="5"/>
        <v>322</v>
      </c>
      <c r="P10" t="str">
        <f t="shared" si="6"/>
        <v>32</v>
      </c>
      <c r="Q10" t="str">
        <f t="shared" si="7"/>
        <v>31</v>
      </c>
      <c r="R10" t="str">
        <f t="shared" si="8"/>
        <v>94</v>
      </c>
      <c r="S10">
        <v>43</v>
      </c>
      <c r="T10" t="s">
        <v>96</v>
      </c>
      <c r="V10" s="132">
        <v>3132</v>
      </c>
      <c r="W10" s="132" t="s">
        <v>51</v>
      </c>
      <c r="X10" s="132"/>
      <c r="Y10" s="251" t="str">
        <f t="shared" ref="Y10:Y41" si="9">LEFT(V10,2)</f>
        <v>31</v>
      </c>
      <c r="Z10" s="132" t="str">
        <f t="shared" ref="Z10:Z41" si="10">LEFT(V10,3)</f>
        <v>313</v>
      </c>
      <c r="AB10" t="s">
        <v>1618</v>
      </c>
      <c r="AC10" t="s">
        <v>1619</v>
      </c>
      <c r="AD10" t="s">
        <v>5155</v>
      </c>
      <c r="AE10" t="s">
        <v>5156</v>
      </c>
      <c r="AF10" t="s">
        <v>5177</v>
      </c>
      <c r="AG10" t="s">
        <v>5187</v>
      </c>
    </row>
    <row r="11" spans="1:33">
      <c r="A11" s="85" t="str">
        <f>IF(C11="","",VLOOKUP('OPĆI DIO'!$C$3,'OPĆI DIO'!$L$6:$U$138,10,FALSE))</f>
        <v>08006</v>
      </c>
      <c r="B11" s="85" t="str">
        <f>IF(C11="","",VLOOKUP('OPĆI DIO'!$C$3,'OPĆI DIO'!$L$6:$U$138,9,FALSE))</f>
        <v>Sveučilišta i veleučilišta u Republici Hrvatskoj</v>
      </c>
      <c r="C11" s="90">
        <v>31</v>
      </c>
      <c r="D11" s="85" t="str">
        <f t="shared" si="1"/>
        <v>Vlastiti prihodi</v>
      </c>
      <c r="E11" s="90">
        <v>3222</v>
      </c>
      <c r="F11" s="85" t="str">
        <f t="shared" si="2"/>
        <v>Materijal i sirovine</v>
      </c>
      <c r="G11" s="123" t="s">
        <v>145</v>
      </c>
      <c r="H11" s="85" t="str">
        <f t="shared" si="3"/>
        <v>REDOVNA DJELATNOST SVEUČILIŠTA U ZAGREBU (IZ EVIDENCIJSKIH PRIHODA)</v>
      </c>
      <c r="I11" s="85" t="str">
        <f t="shared" si="4"/>
        <v>0942</v>
      </c>
      <c r="J11" s="122">
        <v>3716</v>
      </c>
      <c r="K11" s="290">
        <v>3831</v>
      </c>
      <c r="L11" s="290">
        <v>3950</v>
      </c>
      <c r="M11" s="89"/>
      <c r="O11" t="str">
        <f t="shared" si="5"/>
        <v>322</v>
      </c>
      <c r="P11" t="str">
        <f t="shared" si="6"/>
        <v>32</v>
      </c>
      <c r="Q11" t="str">
        <f t="shared" si="7"/>
        <v>31</v>
      </c>
      <c r="R11" t="str">
        <f t="shared" si="8"/>
        <v>94</v>
      </c>
      <c r="S11">
        <v>51</v>
      </c>
      <c r="T11" t="s">
        <v>86</v>
      </c>
      <c r="V11">
        <v>3211</v>
      </c>
      <c r="W11" t="s">
        <v>78</v>
      </c>
      <c r="Y11" s="251" t="str">
        <f t="shared" si="9"/>
        <v>32</v>
      </c>
      <c r="Z11" t="str">
        <f t="shared" si="10"/>
        <v>321</v>
      </c>
      <c r="AB11" t="s">
        <v>1618</v>
      </c>
      <c r="AC11" t="s">
        <v>1619</v>
      </c>
      <c r="AD11" t="s">
        <v>5157</v>
      </c>
      <c r="AE11" t="s">
        <v>5158</v>
      </c>
      <c r="AF11" t="s">
        <v>5177</v>
      </c>
      <c r="AG11" t="s">
        <v>5186</v>
      </c>
    </row>
    <row r="12" spans="1:33">
      <c r="A12" s="85" t="str">
        <f>IF(C12="","",VLOOKUP('OPĆI DIO'!$C$3,'OPĆI DIO'!$L$6:$U$138,10,FALSE))</f>
        <v>08006</v>
      </c>
      <c r="B12" s="85" t="str">
        <f>IF(C12="","",VLOOKUP('OPĆI DIO'!$C$3,'OPĆI DIO'!$L$6:$U$138,9,FALSE))</f>
        <v>Sveučilišta i veleučilišta u Republici Hrvatskoj</v>
      </c>
      <c r="C12" s="90">
        <v>31</v>
      </c>
      <c r="D12" s="85" t="str">
        <f t="shared" si="1"/>
        <v>Vlastiti prihodi</v>
      </c>
      <c r="E12" s="90">
        <v>3223</v>
      </c>
      <c r="F12" s="85" t="str">
        <f t="shared" si="2"/>
        <v>Energija</v>
      </c>
      <c r="G12" s="123" t="s">
        <v>145</v>
      </c>
      <c r="H12" s="85" t="str">
        <f t="shared" si="3"/>
        <v>REDOVNA DJELATNOST SVEUČILIŠTA U ZAGREBU (IZ EVIDENCIJSKIH PRIHODA)</v>
      </c>
      <c r="I12" s="85" t="str">
        <f t="shared" si="4"/>
        <v>0942</v>
      </c>
      <c r="J12" s="122">
        <v>26545</v>
      </c>
      <c r="K12" s="290">
        <v>27367</v>
      </c>
      <c r="L12" s="290">
        <v>28216</v>
      </c>
      <c r="M12" s="89"/>
      <c r="O12" t="str">
        <f t="shared" si="5"/>
        <v>322</v>
      </c>
      <c r="P12" t="str">
        <f t="shared" si="6"/>
        <v>32</v>
      </c>
      <c r="Q12" t="str">
        <f t="shared" si="7"/>
        <v>31</v>
      </c>
      <c r="R12" t="str">
        <f t="shared" si="8"/>
        <v>94</v>
      </c>
      <c r="S12">
        <v>52</v>
      </c>
      <c r="T12" t="s">
        <v>109</v>
      </c>
      <c r="V12">
        <v>3212</v>
      </c>
      <c r="W12" t="s">
        <v>52</v>
      </c>
      <c r="Y12" s="251" t="str">
        <f t="shared" si="9"/>
        <v>32</v>
      </c>
      <c r="Z12" t="str">
        <f t="shared" si="10"/>
        <v>321</v>
      </c>
      <c r="AB12" t="s">
        <v>1620</v>
      </c>
      <c r="AC12" t="s">
        <v>1621</v>
      </c>
      <c r="AD12" t="s">
        <v>5155</v>
      </c>
      <c r="AE12" t="s">
        <v>5156</v>
      </c>
      <c r="AF12" t="s">
        <v>5177</v>
      </c>
      <c r="AG12" t="s">
        <v>5187</v>
      </c>
    </row>
    <row r="13" spans="1:33">
      <c r="A13" s="85" t="str">
        <f>IF(C13="","",VLOOKUP('OPĆI DIO'!$C$3,'OPĆI DIO'!$L$6:$U$138,10,FALSE))</f>
        <v>08006</v>
      </c>
      <c r="B13" s="85" t="str">
        <f>IF(C13="","",VLOOKUP('OPĆI DIO'!$C$3,'OPĆI DIO'!$L$6:$U$138,9,FALSE))</f>
        <v>Sveučilišta i veleučilišta u Republici Hrvatskoj</v>
      </c>
      <c r="C13" s="90">
        <v>31</v>
      </c>
      <c r="D13" s="85" t="str">
        <f t="shared" si="1"/>
        <v>Vlastiti prihodi</v>
      </c>
      <c r="E13" s="90">
        <v>3224</v>
      </c>
      <c r="F13" s="85" t="str">
        <f t="shared" si="2"/>
        <v>Materijal i dijelovi za tekuće i investicijsko održavanje</v>
      </c>
      <c r="G13" s="123" t="s">
        <v>145</v>
      </c>
      <c r="H13" s="85" t="str">
        <f t="shared" si="3"/>
        <v>REDOVNA DJELATNOST SVEUČILIŠTA U ZAGREBU (IZ EVIDENCIJSKIH PRIHODA)</v>
      </c>
      <c r="I13" s="85" t="str">
        <f t="shared" si="4"/>
        <v>0942</v>
      </c>
      <c r="J13" s="122">
        <v>1593</v>
      </c>
      <c r="K13" s="290">
        <v>1642</v>
      </c>
      <c r="L13" s="290">
        <v>1693</v>
      </c>
      <c r="M13" s="89"/>
      <c r="O13" t="str">
        <f t="shared" si="5"/>
        <v>322</v>
      </c>
      <c r="P13" t="str">
        <f t="shared" si="6"/>
        <v>32</v>
      </c>
      <c r="Q13" t="str">
        <f t="shared" si="7"/>
        <v>31</v>
      </c>
      <c r="R13" t="str">
        <f t="shared" si="8"/>
        <v>94</v>
      </c>
      <c r="S13">
        <v>552</v>
      </c>
      <c r="T13" t="s">
        <v>1210</v>
      </c>
      <c r="V13">
        <v>3213</v>
      </c>
      <c r="W13" t="s">
        <v>97</v>
      </c>
      <c r="Y13" s="251" t="str">
        <f t="shared" si="9"/>
        <v>32</v>
      </c>
      <c r="Z13" t="str">
        <f t="shared" si="10"/>
        <v>321</v>
      </c>
      <c r="AB13" t="s">
        <v>1800</v>
      </c>
      <c r="AC13" t="s">
        <v>1801</v>
      </c>
      <c r="AD13" t="s">
        <v>5155</v>
      </c>
      <c r="AE13" t="s">
        <v>5156</v>
      </c>
      <c r="AF13" t="s">
        <v>5177</v>
      </c>
      <c r="AG13" t="s">
        <v>5187</v>
      </c>
    </row>
    <row r="14" spans="1:33">
      <c r="A14" s="85" t="str">
        <f>IF(C14="","",VLOOKUP('OPĆI DIO'!$C$3,'OPĆI DIO'!$L$6:$U$138,10,FALSE))</f>
        <v>08006</v>
      </c>
      <c r="B14" s="85" t="str">
        <f>IF(C14="","",VLOOKUP('OPĆI DIO'!$C$3,'OPĆI DIO'!$L$6:$U$138,9,FALSE))</f>
        <v>Sveučilišta i veleučilišta u Republici Hrvatskoj</v>
      </c>
      <c r="C14" s="90">
        <v>31</v>
      </c>
      <c r="D14" s="85" t="str">
        <f t="shared" si="1"/>
        <v>Vlastiti prihodi</v>
      </c>
      <c r="E14" s="90">
        <v>3225</v>
      </c>
      <c r="F14" s="85" t="str">
        <f t="shared" si="2"/>
        <v>Sitni inventar i auto gume</v>
      </c>
      <c r="G14" s="123" t="s">
        <v>145</v>
      </c>
      <c r="H14" s="85" t="str">
        <f t="shared" si="3"/>
        <v>REDOVNA DJELATNOST SVEUČILIŠTA U ZAGREBU (IZ EVIDENCIJSKIH PRIHODA)</v>
      </c>
      <c r="I14" s="85" t="str">
        <f t="shared" si="4"/>
        <v>0942</v>
      </c>
      <c r="J14" s="122">
        <v>1327</v>
      </c>
      <c r="K14" s="290">
        <v>1368</v>
      </c>
      <c r="L14" s="290">
        <v>1411</v>
      </c>
      <c r="M14" s="89"/>
      <c r="O14" t="str">
        <f t="shared" si="5"/>
        <v>322</v>
      </c>
      <c r="P14" t="str">
        <f t="shared" si="6"/>
        <v>32</v>
      </c>
      <c r="Q14" t="str">
        <f t="shared" si="7"/>
        <v>31</v>
      </c>
      <c r="R14" t="str">
        <f t="shared" si="8"/>
        <v>94</v>
      </c>
      <c r="S14">
        <v>559</v>
      </c>
      <c r="T14" t="s">
        <v>1211</v>
      </c>
      <c r="V14">
        <v>3214</v>
      </c>
      <c r="W14" t="s">
        <v>126</v>
      </c>
      <c r="Y14" s="251" t="str">
        <f t="shared" si="9"/>
        <v>32</v>
      </c>
      <c r="Z14" t="str">
        <f t="shared" si="10"/>
        <v>321</v>
      </c>
      <c r="AB14" t="s">
        <v>1802</v>
      </c>
      <c r="AC14" t="s">
        <v>1803</v>
      </c>
      <c r="AD14" t="s">
        <v>5159</v>
      </c>
      <c r="AE14" t="s">
        <v>5160</v>
      </c>
      <c r="AF14" t="s">
        <v>5177</v>
      </c>
      <c r="AG14" t="s">
        <v>5185</v>
      </c>
    </row>
    <row r="15" spans="1:33">
      <c r="A15" s="85" t="str">
        <f>IF(C15="","",VLOOKUP('OPĆI DIO'!$C$3,'OPĆI DIO'!$L$6:$U$138,10,FALSE))</f>
        <v>08006</v>
      </c>
      <c r="B15" s="85" t="str">
        <f>IF(C15="","",VLOOKUP('OPĆI DIO'!$C$3,'OPĆI DIO'!$L$6:$U$138,9,FALSE))</f>
        <v>Sveučilišta i veleučilišta u Republici Hrvatskoj</v>
      </c>
      <c r="C15" s="90">
        <v>31</v>
      </c>
      <c r="D15" s="85" t="str">
        <f t="shared" si="1"/>
        <v>Vlastiti prihodi</v>
      </c>
      <c r="E15" s="90">
        <v>3231</v>
      </c>
      <c r="F15" s="85" t="str">
        <f t="shared" si="2"/>
        <v>Usluge telefona, pošte i prijevoza</v>
      </c>
      <c r="G15" s="123" t="s">
        <v>145</v>
      </c>
      <c r="H15" s="85" t="str">
        <f t="shared" si="3"/>
        <v>REDOVNA DJELATNOST SVEUČILIŠTA U ZAGREBU (IZ EVIDENCIJSKIH PRIHODA)</v>
      </c>
      <c r="I15" s="85" t="str">
        <f t="shared" si="4"/>
        <v>0942</v>
      </c>
      <c r="J15" s="122">
        <v>5309</v>
      </c>
      <c r="K15" s="290">
        <v>5473</v>
      </c>
      <c r="L15" s="290">
        <v>5643</v>
      </c>
      <c r="M15" s="89"/>
      <c r="O15" t="str">
        <f t="shared" si="5"/>
        <v>323</v>
      </c>
      <c r="P15" t="str">
        <f t="shared" si="6"/>
        <v>32</v>
      </c>
      <c r="Q15" t="str">
        <f t="shared" si="7"/>
        <v>31</v>
      </c>
      <c r="R15" t="str">
        <f t="shared" si="8"/>
        <v>94</v>
      </c>
      <c r="S15">
        <v>561</v>
      </c>
      <c r="T15" t="s">
        <v>111</v>
      </c>
      <c r="V15">
        <v>3221</v>
      </c>
      <c r="W15" t="s">
        <v>79</v>
      </c>
      <c r="Y15" s="251" t="str">
        <f t="shared" si="9"/>
        <v>32</v>
      </c>
      <c r="Z15" t="str">
        <f t="shared" si="10"/>
        <v>322</v>
      </c>
      <c r="AB15" t="s">
        <v>1804</v>
      </c>
      <c r="AC15" t="s">
        <v>1805</v>
      </c>
      <c r="AD15" t="s">
        <v>5151</v>
      </c>
      <c r="AE15" t="s">
        <v>5152</v>
      </c>
      <c r="AF15" t="s">
        <v>5177</v>
      </c>
      <c r="AG15" t="s">
        <v>5184</v>
      </c>
    </row>
    <row r="16" spans="1:33">
      <c r="A16" s="85" t="str">
        <f>IF(C16="","",VLOOKUP('OPĆI DIO'!$C$3,'OPĆI DIO'!$L$6:$U$138,10,FALSE))</f>
        <v>08006</v>
      </c>
      <c r="B16" s="85" t="str">
        <f>IF(C16="","",VLOOKUP('OPĆI DIO'!$C$3,'OPĆI DIO'!$L$6:$U$138,9,FALSE))</f>
        <v>Sveučilišta i veleučilišta u Republici Hrvatskoj</v>
      </c>
      <c r="C16" s="90">
        <v>31</v>
      </c>
      <c r="D16" s="85" t="str">
        <f t="shared" si="1"/>
        <v>Vlastiti prihodi</v>
      </c>
      <c r="E16" s="90">
        <v>3232</v>
      </c>
      <c r="F16" s="85" t="str">
        <f t="shared" si="2"/>
        <v>Usluge tekućeg i investicijskog održavanja</v>
      </c>
      <c r="G16" s="123" t="s">
        <v>145</v>
      </c>
      <c r="H16" s="85" t="str">
        <f t="shared" si="3"/>
        <v>REDOVNA DJELATNOST SVEUČILIŠTA U ZAGREBU (IZ EVIDENCIJSKIH PRIHODA)</v>
      </c>
      <c r="I16" s="85" t="str">
        <f t="shared" si="4"/>
        <v>0942</v>
      </c>
      <c r="J16" s="122">
        <v>20081</v>
      </c>
      <c r="K16" s="290">
        <v>20703</v>
      </c>
      <c r="L16" s="290">
        <v>21345</v>
      </c>
      <c r="M16" s="89"/>
      <c r="O16" t="str">
        <f t="shared" si="5"/>
        <v>323</v>
      </c>
      <c r="P16" t="str">
        <f t="shared" si="6"/>
        <v>32</v>
      </c>
      <c r="Q16" t="str">
        <f t="shared" si="7"/>
        <v>31</v>
      </c>
      <c r="R16" t="str">
        <f t="shared" si="8"/>
        <v>94</v>
      </c>
      <c r="S16">
        <v>563</v>
      </c>
      <c r="T16" t="s">
        <v>113</v>
      </c>
      <c r="V16">
        <v>3222</v>
      </c>
      <c r="W16" t="s">
        <v>100</v>
      </c>
      <c r="Y16" s="251" t="str">
        <f t="shared" si="9"/>
        <v>32</v>
      </c>
      <c r="Z16" t="str">
        <f t="shared" si="10"/>
        <v>322</v>
      </c>
      <c r="AB16" t="s">
        <v>945</v>
      </c>
      <c r="AC16" t="s">
        <v>946</v>
      </c>
      <c r="AD16" t="s">
        <v>5161</v>
      </c>
      <c r="AE16" t="s">
        <v>5162</v>
      </c>
      <c r="AF16" t="s">
        <v>5178</v>
      </c>
      <c r="AG16" t="s">
        <v>5183</v>
      </c>
    </row>
    <row r="17" spans="1:33">
      <c r="A17" s="85" t="str">
        <f>IF(C17="","",VLOOKUP('OPĆI DIO'!$C$3,'OPĆI DIO'!$L$6:$U$138,10,FALSE))</f>
        <v>08006</v>
      </c>
      <c r="B17" s="85" t="str">
        <f>IF(C17="","",VLOOKUP('OPĆI DIO'!$C$3,'OPĆI DIO'!$L$6:$U$138,9,FALSE))</f>
        <v>Sveučilišta i veleučilišta u Republici Hrvatskoj</v>
      </c>
      <c r="C17" s="90">
        <v>31</v>
      </c>
      <c r="D17" s="85" t="str">
        <f t="shared" si="1"/>
        <v>Vlastiti prihodi</v>
      </c>
      <c r="E17" s="90">
        <v>3233</v>
      </c>
      <c r="F17" s="85" t="str">
        <f t="shared" si="2"/>
        <v>Usluge promidžbe i informiranja</v>
      </c>
      <c r="G17" s="123" t="s">
        <v>145</v>
      </c>
      <c r="H17" s="85" t="str">
        <f t="shared" si="3"/>
        <v>REDOVNA DJELATNOST SVEUČILIŠTA U ZAGREBU (IZ EVIDENCIJSKIH PRIHODA)</v>
      </c>
      <c r="I17" s="85" t="str">
        <f t="shared" si="4"/>
        <v>0942</v>
      </c>
      <c r="J17" s="122">
        <v>7300</v>
      </c>
      <c r="K17" s="290">
        <v>7526</v>
      </c>
      <c r="L17" s="290">
        <v>7759</v>
      </c>
      <c r="M17" s="89"/>
      <c r="O17" t="str">
        <f t="shared" si="5"/>
        <v>323</v>
      </c>
      <c r="P17" t="str">
        <f t="shared" si="6"/>
        <v>32</v>
      </c>
      <c r="Q17" t="str">
        <f t="shared" si="7"/>
        <v>31</v>
      </c>
      <c r="R17" t="str">
        <f t="shared" si="8"/>
        <v>94</v>
      </c>
      <c r="S17">
        <v>573</v>
      </c>
      <c r="T17" t="s">
        <v>1221</v>
      </c>
      <c r="V17">
        <v>3223</v>
      </c>
      <c r="W17" t="s">
        <v>88</v>
      </c>
      <c r="Y17" s="251" t="str">
        <f t="shared" si="9"/>
        <v>32</v>
      </c>
      <c r="Z17" t="str">
        <f t="shared" si="10"/>
        <v>322</v>
      </c>
      <c r="AB17" t="s">
        <v>1622</v>
      </c>
      <c r="AC17" t="s">
        <v>1623</v>
      </c>
      <c r="AD17" t="s">
        <v>5155</v>
      </c>
      <c r="AE17" t="s">
        <v>5156</v>
      </c>
      <c r="AF17" t="s">
        <v>5177</v>
      </c>
      <c r="AG17" t="s">
        <v>5187</v>
      </c>
    </row>
    <row r="18" spans="1:33">
      <c r="A18" s="85" t="str">
        <f>IF(C18="","",VLOOKUP('OPĆI DIO'!$C$3,'OPĆI DIO'!$L$6:$U$138,10,FALSE))</f>
        <v>08006</v>
      </c>
      <c r="B18" s="85" t="str">
        <f>IF(C18="","",VLOOKUP('OPĆI DIO'!$C$3,'OPĆI DIO'!$L$6:$U$138,9,FALSE))</f>
        <v>Sveučilišta i veleučilišta u Republici Hrvatskoj</v>
      </c>
      <c r="C18" s="90">
        <v>31</v>
      </c>
      <c r="D18" s="85" t="str">
        <f t="shared" si="1"/>
        <v>Vlastiti prihodi</v>
      </c>
      <c r="E18" s="90">
        <v>3234</v>
      </c>
      <c r="F18" s="85" t="str">
        <f t="shared" si="2"/>
        <v>Komunalne usluge</v>
      </c>
      <c r="G18" s="123" t="s">
        <v>145</v>
      </c>
      <c r="H18" s="85" t="str">
        <f t="shared" si="3"/>
        <v>REDOVNA DJELATNOST SVEUČILIŠTA U ZAGREBU (IZ EVIDENCIJSKIH PRIHODA)</v>
      </c>
      <c r="I18" s="85" t="str">
        <f t="shared" si="4"/>
        <v>0942</v>
      </c>
      <c r="J18" s="122">
        <v>1327</v>
      </c>
      <c r="K18" s="290">
        <v>1368</v>
      </c>
      <c r="L18" s="290">
        <v>1411</v>
      </c>
      <c r="M18" s="89"/>
      <c r="O18" t="str">
        <f t="shared" si="5"/>
        <v>323</v>
      </c>
      <c r="P18" t="str">
        <f t="shared" si="6"/>
        <v>32</v>
      </c>
      <c r="Q18" t="str">
        <f t="shared" si="7"/>
        <v>31</v>
      </c>
      <c r="R18" t="str">
        <f t="shared" si="8"/>
        <v>94</v>
      </c>
      <c r="S18">
        <v>575</v>
      </c>
      <c r="T18" t="s">
        <v>1223</v>
      </c>
      <c r="V18">
        <v>3224</v>
      </c>
      <c r="W18" t="s">
        <v>93</v>
      </c>
      <c r="Y18" s="251" t="str">
        <f t="shared" si="9"/>
        <v>32</v>
      </c>
      <c r="Z18" t="str">
        <f t="shared" si="10"/>
        <v>322</v>
      </c>
      <c r="AB18" t="s">
        <v>947</v>
      </c>
      <c r="AC18" t="s">
        <v>948</v>
      </c>
      <c r="AD18" t="s">
        <v>5155</v>
      </c>
      <c r="AE18" t="s">
        <v>5156</v>
      </c>
      <c r="AF18" t="s">
        <v>5177</v>
      </c>
      <c r="AG18" t="s">
        <v>5187</v>
      </c>
    </row>
    <row r="19" spans="1:33">
      <c r="A19" s="85" t="str">
        <f>IF(C19="","",VLOOKUP('OPĆI DIO'!$C$3,'OPĆI DIO'!$L$6:$U$138,10,FALSE))</f>
        <v>08006</v>
      </c>
      <c r="B19" s="85" t="str">
        <f>IF(C19="","",VLOOKUP('OPĆI DIO'!$C$3,'OPĆI DIO'!$L$6:$U$138,9,FALSE))</f>
        <v>Sveučilišta i veleučilišta u Republici Hrvatskoj</v>
      </c>
      <c r="C19" s="90">
        <v>31</v>
      </c>
      <c r="D19" s="85" t="str">
        <f t="shared" si="1"/>
        <v>Vlastiti prihodi</v>
      </c>
      <c r="E19" s="90">
        <v>3235</v>
      </c>
      <c r="F19" s="85" t="str">
        <f t="shared" si="2"/>
        <v>Zakupnine i najamnine</v>
      </c>
      <c r="G19" s="123" t="s">
        <v>145</v>
      </c>
      <c r="H19" s="85" t="str">
        <f t="shared" si="3"/>
        <v>REDOVNA DJELATNOST SVEUČILIŠTA U ZAGREBU (IZ EVIDENCIJSKIH PRIHODA)</v>
      </c>
      <c r="I19" s="85" t="str">
        <f t="shared" si="4"/>
        <v>0942</v>
      </c>
      <c r="J19" s="122">
        <v>2654</v>
      </c>
      <c r="K19" s="290">
        <v>2737</v>
      </c>
      <c r="L19" s="290">
        <v>2822</v>
      </c>
      <c r="M19" s="89"/>
      <c r="O19" t="str">
        <f t="shared" si="5"/>
        <v>323</v>
      </c>
      <c r="P19" t="str">
        <f t="shared" si="6"/>
        <v>32</v>
      </c>
      <c r="Q19" t="str">
        <f t="shared" si="7"/>
        <v>31</v>
      </c>
      <c r="R19" t="str">
        <f t="shared" si="8"/>
        <v>94</v>
      </c>
      <c r="S19" s="187">
        <v>5761</v>
      </c>
      <c r="T19" s="143" t="s">
        <v>3537</v>
      </c>
      <c r="V19">
        <v>3225</v>
      </c>
      <c r="W19" t="s">
        <v>101</v>
      </c>
      <c r="Y19" s="251" t="str">
        <f t="shared" si="9"/>
        <v>32</v>
      </c>
      <c r="Z19" t="str">
        <f t="shared" si="10"/>
        <v>322</v>
      </c>
      <c r="AB19" t="s">
        <v>1806</v>
      </c>
      <c r="AC19" t="s">
        <v>1807</v>
      </c>
      <c r="AD19" t="s">
        <v>5155</v>
      </c>
      <c r="AE19" t="s">
        <v>5156</v>
      </c>
      <c r="AF19" t="s">
        <v>5177</v>
      </c>
      <c r="AG19" t="s">
        <v>5187</v>
      </c>
    </row>
    <row r="20" spans="1:33">
      <c r="A20" s="85" t="str">
        <f>IF(C20="","",VLOOKUP('OPĆI DIO'!$C$3,'OPĆI DIO'!$L$6:$U$138,10,FALSE))</f>
        <v>08006</v>
      </c>
      <c r="B20" s="85" t="str">
        <f>IF(C20="","",VLOOKUP('OPĆI DIO'!$C$3,'OPĆI DIO'!$L$6:$U$138,9,FALSE))</f>
        <v>Sveučilišta i veleučilišta u Republici Hrvatskoj</v>
      </c>
      <c r="C20" s="90">
        <v>31</v>
      </c>
      <c r="D20" s="85" t="str">
        <f t="shared" si="1"/>
        <v>Vlastiti prihodi</v>
      </c>
      <c r="E20" s="90">
        <v>3237</v>
      </c>
      <c r="F20" s="85" t="str">
        <f t="shared" si="2"/>
        <v>Intelektualne i osobne usluge</v>
      </c>
      <c r="G20" s="123" t="s">
        <v>145</v>
      </c>
      <c r="H20" s="85" t="str">
        <f t="shared" si="3"/>
        <v>REDOVNA DJELATNOST SVEUČILIŠTA U ZAGREBU (IZ EVIDENCIJSKIH PRIHODA)</v>
      </c>
      <c r="I20" s="85" t="str">
        <f t="shared" si="4"/>
        <v>0942</v>
      </c>
      <c r="J20" s="122">
        <v>21614</v>
      </c>
      <c r="K20" s="290">
        <v>22288</v>
      </c>
      <c r="L20" s="290">
        <v>22975</v>
      </c>
      <c r="M20" s="89"/>
      <c r="O20" t="str">
        <f t="shared" si="5"/>
        <v>323</v>
      </c>
      <c r="P20" t="str">
        <f t="shared" si="6"/>
        <v>32</v>
      </c>
      <c r="Q20" t="str">
        <f t="shared" si="7"/>
        <v>31</v>
      </c>
      <c r="R20" t="str">
        <f t="shared" si="8"/>
        <v>94</v>
      </c>
      <c r="S20" s="187">
        <v>5762</v>
      </c>
      <c r="T20" s="143" t="s">
        <v>3537</v>
      </c>
      <c r="V20">
        <v>3226</v>
      </c>
      <c r="W20" t="s">
        <v>175</v>
      </c>
      <c r="Y20" s="251" t="str">
        <f t="shared" si="9"/>
        <v>32</v>
      </c>
      <c r="Z20" t="str">
        <f t="shared" si="10"/>
        <v>322</v>
      </c>
      <c r="AB20" t="s">
        <v>1624</v>
      </c>
      <c r="AC20" t="s">
        <v>1625</v>
      </c>
      <c r="AD20" t="s">
        <v>5155</v>
      </c>
      <c r="AE20" t="s">
        <v>5156</v>
      </c>
      <c r="AF20" t="s">
        <v>5177</v>
      </c>
      <c r="AG20" t="s">
        <v>5187</v>
      </c>
    </row>
    <row r="21" spans="1:33">
      <c r="A21" s="85" t="str">
        <f>IF(C21="","",VLOOKUP('OPĆI DIO'!$C$3,'OPĆI DIO'!$L$6:$U$138,10,FALSE))</f>
        <v>08006</v>
      </c>
      <c r="B21" s="85" t="str">
        <f>IF(C21="","",VLOOKUP('OPĆI DIO'!$C$3,'OPĆI DIO'!$L$6:$U$138,9,FALSE))</f>
        <v>Sveučilišta i veleučilišta u Republici Hrvatskoj</v>
      </c>
      <c r="C21" s="90">
        <v>31</v>
      </c>
      <c r="D21" s="85" t="str">
        <f t="shared" si="1"/>
        <v>Vlastiti prihodi</v>
      </c>
      <c r="E21" s="90">
        <v>3238</v>
      </c>
      <c r="F21" s="85" t="str">
        <f t="shared" si="2"/>
        <v>Računalne usluge</v>
      </c>
      <c r="G21" s="123" t="s">
        <v>145</v>
      </c>
      <c r="H21" s="85" t="str">
        <f t="shared" si="3"/>
        <v>REDOVNA DJELATNOST SVEUČILIŠTA U ZAGREBU (IZ EVIDENCIJSKIH PRIHODA)</v>
      </c>
      <c r="I21" s="85" t="str">
        <f t="shared" si="4"/>
        <v>0942</v>
      </c>
      <c r="J21" s="122">
        <v>664</v>
      </c>
      <c r="K21" s="290">
        <v>684</v>
      </c>
      <c r="L21" s="290">
        <v>705</v>
      </c>
      <c r="M21" s="89"/>
      <c r="O21" t="str">
        <f t="shared" si="5"/>
        <v>323</v>
      </c>
      <c r="P21" t="str">
        <f t="shared" si="6"/>
        <v>32</v>
      </c>
      <c r="Q21" t="str">
        <f t="shared" si="7"/>
        <v>31</v>
      </c>
      <c r="R21" t="str">
        <f t="shared" si="8"/>
        <v>94</v>
      </c>
      <c r="S21" s="143">
        <v>581</v>
      </c>
      <c r="T21" s="144" t="s">
        <v>1781</v>
      </c>
      <c r="V21">
        <v>3227</v>
      </c>
      <c r="W21" t="s">
        <v>118</v>
      </c>
      <c r="Y21" s="251" t="str">
        <f t="shared" si="9"/>
        <v>32</v>
      </c>
      <c r="Z21" t="str">
        <f t="shared" si="10"/>
        <v>322</v>
      </c>
      <c r="AB21" t="s">
        <v>1808</v>
      </c>
      <c r="AC21" t="s">
        <v>1809</v>
      </c>
      <c r="AD21" t="s">
        <v>5151</v>
      </c>
      <c r="AE21" t="s">
        <v>5152</v>
      </c>
      <c r="AF21" t="s">
        <v>5177</v>
      </c>
      <c r="AG21" t="s">
        <v>5184</v>
      </c>
    </row>
    <row r="22" spans="1:33">
      <c r="A22" s="85" t="str">
        <f>IF(C22="","",VLOOKUP('OPĆI DIO'!$C$3,'OPĆI DIO'!$L$6:$U$138,10,FALSE))</f>
        <v>08006</v>
      </c>
      <c r="B22" s="85" t="str">
        <f>IF(C22="","",VLOOKUP('OPĆI DIO'!$C$3,'OPĆI DIO'!$L$6:$U$138,9,FALSE))</f>
        <v>Sveučilišta i veleučilišta u Republici Hrvatskoj</v>
      </c>
      <c r="C22" s="90">
        <v>31</v>
      </c>
      <c r="D22" s="85" t="str">
        <f t="shared" si="1"/>
        <v>Vlastiti prihodi</v>
      </c>
      <c r="E22" s="90">
        <v>3239</v>
      </c>
      <c r="F22" s="85" t="str">
        <f t="shared" si="2"/>
        <v>Ostale usluge</v>
      </c>
      <c r="G22" s="123" t="s">
        <v>145</v>
      </c>
      <c r="H22" s="85" t="str">
        <f t="shared" si="3"/>
        <v>REDOVNA DJELATNOST SVEUČILIŠTA U ZAGREBU (IZ EVIDENCIJSKIH PRIHODA)</v>
      </c>
      <c r="I22" s="85" t="str">
        <f t="shared" si="4"/>
        <v>0942</v>
      </c>
      <c r="J22" s="122">
        <v>21236</v>
      </c>
      <c r="K22" s="290">
        <v>21897</v>
      </c>
      <c r="L22" s="290">
        <v>22573</v>
      </c>
      <c r="M22" s="89"/>
      <c r="O22" t="str">
        <f t="shared" si="5"/>
        <v>323</v>
      </c>
      <c r="P22" t="str">
        <f t="shared" si="6"/>
        <v>32</v>
      </c>
      <c r="Q22" t="str">
        <f t="shared" si="7"/>
        <v>31</v>
      </c>
      <c r="R22" t="str">
        <f t="shared" si="8"/>
        <v>94</v>
      </c>
      <c r="S22">
        <v>61</v>
      </c>
      <c r="T22" t="s">
        <v>115</v>
      </c>
      <c r="V22">
        <v>3231</v>
      </c>
      <c r="W22" t="s">
        <v>102</v>
      </c>
      <c r="Y22" s="251" t="str">
        <f t="shared" si="9"/>
        <v>32</v>
      </c>
      <c r="Z22" t="str">
        <f t="shared" si="10"/>
        <v>323</v>
      </c>
      <c r="AB22" t="s">
        <v>1810</v>
      </c>
      <c r="AC22" t="s">
        <v>1811</v>
      </c>
      <c r="AD22" t="s">
        <v>5155</v>
      </c>
      <c r="AE22" t="s">
        <v>5156</v>
      </c>
      <c r="AF22" t="s">
        <v>5177</v>
      </c>
      <c r="AG22" t="s">
        <v>5187</v>
      </c>
    </row>
    <row r="23" spans="1:33">
      <c r="A23" s="85" t="str">
        <f>IF(C23="","",VLOOKUP('OPĆI DIO'!$C$3,'OPĆI DIO'!$L$6:$U$138,10,FALSE))</f>
        <v>08006</v>
      </c>
      <c r="B23" s="85" t="str">
        <f>IF(C23="","",VLOOKUP('OPĆI DIO'!$C$3,'OPĆI DIO'!$L$6:$U$138,9,FALSE))</f>
        <v>Sveučilišta i veleučilišta u Republici Hrvatskoj</v>
      </c>
      <c r="C23" s="90">
        <v>31</v>
      </c>
      <c r="D23" s="85" t="str">
        <f t="shared" si="1"/>
        <v>Vlastiti prihodi</v>
      </c>
      <c r="E23" s="90">
        <v>3241</v>
      </c>
      <c r="F23" s="85" t="str">
        <f t="shared" si="2"/>
        <v>Naknade troškova osobama izvan radnog odnosa</v>
      </c>
      <c r="G23" s="123" t="s">
        <v>145</v>
      </c>
      <c r="H23" s="85" t="str">
        <f t="shared" si="3"/>
        <v>REDOVNA DJELATNOST SVEUČILIŠTA U ZAGREBU (IZ EVIDENCIJSKIH PRIHODA)</v>
      </c>
      <c r="I23" s="85" t="str">
        <f t="shared" si="4"/>
        <v>0942</v>
      </c>
      <c r="J23" s="122">
        <v>5481</v>
      </c>
      <c r="K23" s="290">
        <v>5651</v>
      </c>
      <c r="L23" s="290">
        <v>5827</v>
      </c>
      <c r="M23" s="89"/>
      <c r="O23" t="str">
        <f t="shared" si="5"/>
        <v>324</v>
      </c>
      <c r="P23" t="str">
        <f t="shared" si="6"/>
        <v>32</v>
      </c>
      <c r="Q23" t="str">
        <f t="shared" si="7"/>
        <v>31</v>
      </c>
      <c r="R23" t="str">
        <f t="shared" si="8"/>
        <v>94</v>
      </c>
      <c r="S23">
        <v>71</v>
      </c>
      <c r="T23" t="s">
        <v>173</v>
      </c>
      <c r="V23">
        <v>3232</v>
      </c>
      <c r="W23" t="s">
        <v>89</v>
      </c>
      <c r="Y23" s="251" t="str">
        <f t="shared" si="9"/>
        <v>32</v>
      </c>
      <c r="Z23" t="str">
        <f t="shared" si="10"/>
        <v>323</v>
      </c>
      <c r="AB23" t="s">
        <v>1812</v>
      </c>
      <c r="AC23" t="s">
        <v>1813</v>
      </c>
      <c r="AD23" t="s">
        <v>5157</v>
      </c>
      <c r="AE23" t="s">
        <v>5158</v>
      </c>
      <c r="AF23" t="s">
        <v>5177</v>
      </c>
      <c r="AG23" t="s">
        <v>5186</v>
      </c>
    </row>
    <row r="24" spans="1:33">
      <c r="A24" s="85" t="str">
        <f>IF(C24="","",VLOOKUP('OPĆI DIO'!$C$3,'OPĆI DIO'!$L$6:$U$138,10,FALSE))</f>
        <v>08006</v>
      </c>
      <c r="B24" s="85" t="str">
        <f>IF(C24="","",VLOOKUP('OPĆI DIO'!$C$3,'OPĆI DIO'!$L$6:$U$138,9,FALSE))</f>
        <v>Sveučilišta i veleučilišta u Republici Hrvatskoj</v>
      </c>
      <c r="C24" s="90">
        <v>31</v>
      </c>
      <c r="D24" s="85" t="str">
        <f t="shared" si="1"/>
        <v>Vlastiti prihodi</v>
      </c>
      <c r="E24" s="90">
        <v>3292</v>
      </c>
      <c r="F24" s="85" t="str">
        <f t="shared" si="2"/>
        <v>Premije osiguranja</v>
      </c>
      <c r="G24" s="123" t="s">
        <v>145</v>
      </c>
      <c r="H24" s="85" t="str">
        <f t="shared" si="3"/>
        <v>REDOVNA DJELATNOST SVEUČILIŠTA U ZAGREBU (IZ EVIDENCIJSKIH PRIHODA)</v>
      </c>
      <c r="I24" s="85" t="str">
        <f t="shared" si="4"/>
        <v>0942</v>
      </c>
      <c r="J24" s="122">
        <v>1991</v>
      </c>
      <c r="K24" s="290">
        <v>2053</v>
      </c>
      <c r="L24" s="290">
        <v>2116</v>
      </c>
      <c r="M24" s="89"/>
      <c r="O24" t="str">
        <f t="shared" si="5"/>
        <v>329</v>
      </c>
      <c r="P24" t="str">
        <f t="shared" si="6"/>
        <v>32</v>
      </c>
      <c r="Q24" t="str">
        <f t="shared" si="7"/>
        <v>31</v>
      </c>
      <c r="R24" t="str">
        <f t="shared" si="8"/>
        <v>94</v>
      </c>
      <c r="S24">
        <v>81</v>
      </c>
      <c r="T24" t="s">
        <v>56</v>
      </c>
      <c r="V24">
        <v>3233</v>
      </c>
      <c r="W24" t="s">
        <v>77</v>
      </c>
      <c r="Y24" s="251" t="str">
        <f t="shared" si="9"/>
        <v>32</v>
      </c>
      <c r="Z24" t="str">
        <f t="shared" si="10"/>
        <v>323</v>
      </c>
      <c r="AB24" t="s">
        <v>1814</v>
      </c>
      <c r="AC24" t="s">
        <v>1815</v>
      </c>
      <c r="AD24" t="s">
        <v>5163</v>
      </c>
      <c r="AE24" t="s">
        <v>5164</v>
      </c>
      <c r="AF24" t="s">
        <v>5177</v>
      </c>
      <c r="AG24" t="s">
        <v>5184</v>
      </c>
    </row>
    <row r="25" spans="1:33">
      <c r="A25" s="85" t="str">
        <f>IF(C25="","",VLOOKUP('OPĆI DIO'!$C$3,'OPĆI DIO'!$L$6:$U$138,10,FALSE))</f>
        <v>08006</v>
      </c>
      <c r="B25" s="85" t="str">
        <f>IF(C25="","",VLOOKUP('OPĆI DIO'!$C$3,'OPĆI DIO'!$L$6:$U$138,9,FALSE))</f>
        <v>Sveučilišta i veleučilišta u Republici Hrvatskoj</v>
      </c>
      <c r="C25" s="90">
        <v>31</v>
      </c>
      <c r="D25" s="85" t="str">
        <f t="shared" si="1"/>
        <v>Vlastiti prihodi</v>
      </c>
      <c r="E25" s="90">
        <v>3293</v>
      </c>
      <c r="F25" s="85" t="str">
        <f t="shared" si="2"/>
        <v>Reprezentacija</v>
      </c>
      <c r="G25" s="123" t="s">
        <v>145</v>
      </c>
      <c r="H25" s="85" t="str">
        <f t="shared" si="3"/>
        <v>REDOVNA DJELATNOST SVEUČILIŠTA U ZAGREBU (IZ EVIDENCIJSKIH PRIHODA)</v>
      </c>
      <c r="I25" s="85" t="str">
        <f t="shared" si="4"/>
        <v>0942</v>
      </c>
      <c r="J25" s="122">
        <v>2328</v>
      </c>
      <c r="K25" s="290">
        <v>2400</v>
      </c>
      <c r="L25" s="290">
        <v>2475</v>
      </c>
      <c r="M25" s="89"/>
      <c r="O25" t="str">
        <f t="shared" si="5"/>
        <v>329</v>
      </c>
      <c r="P25" t="str">
        <f t="shared" si="6"/>
        <v>32</v>
      </c>
      <c r="Q25" t="str">
        <f t="shared" si="7"/>
        <v>31</v>
      </c>
      <c r="R25" t="str">
        <f t="shared" si="8"/>
        <v>94</v>
      </c>
      <c r="V25">
        <v>3234</v>
      </c>
      <c r="W25" t="s">
        <v>90</v>
      </c>
      <c r="Y25" s="251" t="str">
        <f t="shared" si="9"/>
        <v>32</v>
      </c>
      <c r="Z25" t="str">
        <f t="shared" si="10"/>
        <v>323</v>
      </c>
      <c r="AB25" t="s">
        <v>1816</v>
      </c>
      <c r="AC25" t="s">
        <v>1817</v>
      </c>
      <c r="AD25" t="s">
        <v>5163</v>
      </c>
      <c r="AE25" t="s">
        <v>5164</v>
      </c>
      <c r="AF25" t="s">
        <v>5177</v>
      </c>
      <c r="AG25" t="s">
        <v>5184</v>
      </c>
    </row>
    <row r="26" spans="1:33">
      <c r="A26" s="85" t="str">
        <f>IF(C26="","",VLOOKUP('OPĆI DIO'!$C$3,'OPĆI DIO'!$L$6:$U$138,10,FALSE))</f>
        <v>08006</v>
      </c>
      <c r="B26" s="85" t="str">
        <f>IF(C26="","",VLOOKUP('OPĆI DIO'!$C$3,'OPĆI DIO'!$L$6:$U$138,9,FALSE))</f>
        <v>Sveučilišta i veleučilišta u Republici Hrvatskoj</v>
      </c>
      <c r="C26" s="90">
        <v>31</v>
      </c>
      <c r="D26" s="85" t="str">
        <f t="shared" si="1"/>
        <v>Vlastiti prihodi</v>
      </c>
      <c r="E26" s="90">
        <v>3295</v>
      </c>
      <c r="F26" s="85" t="str">
        <f t="shared" si="2"/>
        <v>Pristojbe i naknade</v>
      </c>
      <c r="G26" s="123" t="s">
        <v>145</v>
      </c>
      <c r="H26" s="85" t="str">
        <f t="shared" si="3"/>
        <v>REDOVNA DJELATNOST SVEUČILIŠTA U ZAGREBU (IZ EVIDENCIJSKIH PRIHODA)</v>
      </c>
      <c r="I26" s="85" t="str">
        <f t="shared" si="4"/>
        <v>0942</v>
      </c>
      <c r="J26" s="122">
        <v>66</v>
      </c>
      <c r="K26" s="290">
        <v>68</v>
      </c>
      <c r="L26" s="290">
        <v>71</v>
      </c>
      <c r="M26" s="89"/>
      <c r="O26" t="str">
        <f t="shared" si="5"/>
        <v>329</v>
      </c>
      <c r="P26" t="str">
        <f t="shared" si="6"/>
        <v>32</v>
      </c>
      <c r="Q26" t="str">
        <f t="shared" si="7"/>
        <v>31</v>
      </c>
      <c r="R26" t="str">
        <f t="shared" si="8"/>
        <v>94</v>
      </c>
      <c r="V26">
        <v>3235</v>
      </c>
      <c r="W26" t="s">
        <v>110</v>
      </c>
      <c r="Y26" s="251" t="str">
        <f t="shared" si="9"/>
        <v>32</v>
      </c>
      <c r="Z26" t="str">
        <f t="shared" si="10"/>
        <v>323</v>
      </c>
      <c r="AB26" t="s">
        <v>1818</v>
      </c>
      <c r="AC26" t="s">
        <v>1819</v>
      </c>
      <c r="AD26" t="s">
        <v>5163</v>
      </c>
      <c r="AE26" t="s">
        <v>5164</v>
      </c>
      <c r="AF26" t="s">
        <v>5177</v>
      </c>
      <c r="AG26" t="s">
        <v>5184</v>
      </c>
    </row>
    <row r="27" spans="1:33">
      <c r="A27" s="85" t="str">
        <f>IF(C27="","",VLOOKUP('OPĆI DIO'!$C$3,'OPĆI DIO'!$L$6:$U$138,10,FALSE))</f>
        <v>08006</v>
      </c>
      <c r="B27" s="85" t="str">
        <f>IF(C27="","",VLOOKUP('OPĆI DIO'!$C$3,'OPĆI DIO'!$L$6:$U$138,9,FALSE))</f>
        <v>Sveučilišta i veleučilišta u Republici Hrvatskoj</v>
      </c>
      <c r="C27" s="90">
        <v>31</v>
      </c>
      <c r="D27" s="85" t="str">
        <f t="shared" si="1"/>
        <v>Vlastiti prihodi</v>
      </c>
      <c r="E27" s="90">
        <v>3299</v>
      </c>
      <c r="F27" s="85" t="str">
        <f t="shared" si="2"/>
        <v>Ostali nespomenuti rashodi poslovanja</v>
      </c>
      <c r="G27" s="123" t="s">
        <v>145</v>
      </c>
      <c r="H27" s="85" t="str">
        <f t="shared" si="3"/>
        <v>REDOVNA DJELATNOST SVEUČILIŠTA U ZAGREBU (IZ EVIDENCIJSKIH PRIHODA)</v>
      </c>
      <c r="I27" s="85" t="str">
        <f t="shared" si="4"/>
        <v>0942</v>
      </c>
      <c r="J27" s="122">
        <v>2649</v>
      </c>
      <c r="K27" s="290">
        <v>2731</v>
      </c>
      <c r="L27" s="290">
        <v>2816</v>
      </c>
      <c r="M27" s="89"/>
      <c r="O27" t="str">
        <f t="shared" si="5"/>
        <v>329</v>
      </c>
      <c r="P27" t="str">
        <f t="shared" si="6"/>
        <v>32</v>
      </c>
      <c r="Q27" t="str">
        <f t="shared" si="7"/>
        <v>31</v>
      </c>
      <c r="R27" t="str">
        <f t="shared" si="8"/>
        <v>94</v>
      </c>
      <c r="V27">
        <v>3236</v>
      </c>
      <c r="W27" t="s">
        <v>53</v>
      </c>
      <c r="Y27" s="251" t="str">
        <f t="shared" si="9"/>
        <v>32</v>
      </c>
      <c r="Z27" t="str">
        <f t="shared" si="10"/>
        <v>323</v>
      </c>
      <c r="AB27" t="s">
        <v>1820</v>
      </c>
      <c r="AC27" t="s">
        <v>1821</v>
      </c>
      <c r="AD27" t="s">
        <v>5163</v>
      </c>
      <c r="AE27" t="s">
        <v>5164</v>
      </c>
      <c r="AF27" t="s">
        <v>5177</v>
      </c>
      <c r="AG27" t="s">
        <v>5184</v>
      </c>
    </row>
    <row r="28" spans="1:33">
      <c r="A28" s="85" t="str">
        <f>IF(C28="","",VLOOKUP('OPĆI DIO'!$C$3,'OPĆI DIO'!$L$6:$U$138,10,FALSE))</f>
        <v>08006</v>
      </c>
      <c r="B28" s="85" t="str">
        <f>IF(C28="","",VLOOKUP('OPĆI DIO'!$C$3,'OPĆI DIO'!$L$6:$U$138,9,FALSE))</f>
        <v>Sveučilišta i veleučilišta u Republici Hrvatskoj</v>
      </c>
      <c r="C28" s="90">
        <v>31</v>
      </c>
      <c r="D28" s="85" t="str">
        <f t="shared" si="1"/>
        <v>Vlastiti prihodi</v>
      </c>
      <c r="E28" s="90">
        <v>3431</v>
      </c>
      <c r="F28" s="85" t="str">
        <f t="shared" si="2"/>
        <v>Bankarske usluge i usluge platnog prometa</v>
      </c>
      <c r="G28" s="123" t="s">
        <v>145</v>
      </c>
      <c r="H28" s="85" t="str">
        <f t="shared" si="3"/>
        <v>REDOVNA DJELATNOST SVEUČILIŠTA U ZAGREBU (IZ EVIDENCIJSKIH PRIHODA)</v>
      </c>
      <c r="I28" s="85" t="str">
        <f t="shared" si="4"/>
        <v>0942</v>
      </c>
      <c r="J28" s="122">
        <v>664</v>
      </c>
      <c r="K28" s="290">
        <v>684</v>
      </c>
      <c r="L28" s="290">
        <v>705</v>
      </c>
      <c r="M28" s="89"/>
      <c r="O28" t="str">
        <f t="shared" si="5"/>
        <v>343</v>
      </c>
      <c r="P28" t="str">
        <f t="shared" si="6"/>
        <v>34</v>
      </c>
      <c r="Q28" t="str">
        <f t="shared" si="7"/>
        <v>31</v>
      </c>
      <c r="R28" t="str">
        <f t="shared" si="8"/>
        <v>94</v>
      </c>
      <c r="V28">
        <v>3237</v>
      </c>
      <c r="W28" t="s">
        <v>66</v>
      </c>
      <c r="Y28" s="251" t="str">
        <f t="shared" si="9"/>
        <v>32</v>
      </c>
      <c r="Z28" t="str">
        <f t="shared" si="10"/>
        <v>323</v>
      </c>
      <c r="AB28" t="s">
        <v>949</v>
      </c>
      <c r="AC28" t="s">
        <v>950</v>
      </c>
      <c r="AD28" t="s">
        <v>5155</v>
      </c>
      <c r="AE28" t="s">
        <v>5156</v>
      </c>
      <c r="AF28" t="s">
        <v>5177</v>
      </c>
      <c r="AG28" t="s">
        <v>5187</v>
      </c>
    </row>
    <row r="29" spans="1:33">
      <c r="A29" s="85" t="str">
        <f>IF(C29="","",VLOOKUP('OPĆI DIO'!$C$3,'OPĆI DIO'!$L$6:$U$138,10,FALSE))</f>
        <v>08006</v>
      </c>
      <c r="B29" s="85" t="str">
        <f>IF(C29="","",VLOOKUP('OPĆI DIO'!$C$3,'OPĆI DIO'!$L$6:$U$138,9,FALSE))</f>
        <v>Sveučilišta i veleučilišta u Republici Hrvatskoj</v>
      </c>
      <c r="C29" s="90">
        <v>31</v>
      </c>
      <c r="D29" s="85" t="str">
        <f t="shared" si="1"/>
        <v>Vlastiti prihodi</v>
      </c>
      <c r="E29" s="90">
        <v>3433</v>
      </c>
      <c r="F29" s="85" t="str">
        <f t="shared" si="2"/>
        <v>Zatezne kamate</v>
      </c>
      <c r="G29" s="123" t="s">
        <v>145</v>
      </c>
      <c r="H29" s="85" t="str">
        <f t="shared" si="3"/>
        <v>REDOVNA DJELATNOST SVEUČILIŠTA U ZAGREBU (IZ EVIDENCIJSKIH PRIHODA)</v>
      </c>
      <c r="I29" s="85" t="str">
        <f t="shared" si="4"/>
        <v>0942</v>
      </c>
      <c r="J29" s="122">
        <v>66</v>
      </c>
      <c r="K29" s="290">
        <v>68</v>
      </c>
      <c r="L29" s="290">
        <v>71</v>
      </c>
      <c r="M29" s="89"/>
      <c r="O29" t="str">
        <f t="shared" si="5"/>
        <v>343</v>
      </c>
      <c r="P29" t="str">
        <f t="shared" si="6"/>
        <v>34</v>
      </c>
      <c r="Q29" t="str">
        <f t="shared" si="7"/>
        <v>31</v>
      </c>
      <c r="R29" t="str">
        <f t="shared" si="8"/>
        <v>94</v>
      </c>
      <c r="V29">
        <v>3238</v>
      </c>
      <c r="W29" t="s">
        <v>103</v>
      </c>
      <c r="Y29" s="251" t="str">
        <f t="shared" si="9"/>
        <v>32</v>
      </c>
      <c r="Z29" t="str">
        <f t="shared" si="10"/>
        <v>323</v>
      </c>
      <c r="AB29" t="s">
        <v>1822</v>
      </c>
      <c r="AC29" t="s">
        <v>1823</v>
      </c>
      <c r="AD29" t="s">
        <v>5157</v>
      </c>
      <c r="AE29" t="s">
        <v>5158</v>
      </c>
      <c r="AF29" t="s">
        <v>5177</v>
      </c>
      <c r="AG29" t="s">
        <v>5186</v>
      </c>
    </row>
    <row r="30" spans="1:33">
      <c r="A30" s="85" t="str">
        <f>IF(C30="","",VLOOKUP('OPĆI DIO'!$C$3,'OPĆI DIO'!$L$6:$U$138,10,FALSE))</f>
        <v>08006</v>
      </c>
      <c r="B30" s="85" t="str">
        <f>IF(C30="","",VLOOKUP('OPĆI DIO'!$C$3,'OPĆI DIO'!$L$6:$U$138,9,FALSE))</f>
        <v>Sveučilišta i veleučilišta u Republici Hrvatskoj</v>
      </c>
      <c r="C30" s="90">
        <v>31</v>
      </c>
      <c r="D30" s="85" t="str">
        <f t="shared" si="1"/>
        <v>Vlastiti prihodi</v>
      </c>
      <c r="E30" s="90">
        <v>3434</v>
      </c>
      <c r="F30" s="85" t="str">
        <f t="shared" si="2"/>
        <v>Ostali nespomenuti financijski rashodi</v>
      </c>
      <c r="G30" s="123" t="s">
        <v>145</v>
      </c>
      <c r="H30" s="85" t="str">
        <f t="shared" si="3"/>
        <v>REDOVNA DJELATNOST SVEUČILIŠTA U ZAGREBU (IZ EVIDENCIJSKIH PRIHODA)</v>
      </c>
      <c r="I30" s="85" t="str">
        <f t="shared" si="4"/>
        <v>0942</v>
      </c>
      <c r="J30" s="122">
        <v>1407</v>
      </c>
      <c r="K30" s="290">
        <v>1450</v>
      </c>
      <c r="L30" s="290">
        <v>1495</v>
      </c>
      <c r="M30" s="89"/>
      <c r="O30" t="str">
        <f t="shared" si="5"/>
        <v>343</v>
      </c>
      <c r="P30" t="str">
        <f t="shared" si="6"/>
        <v>34</v>
      </c>
      <c r="Q30" t="str">
        <f t="shared" si="7"/>
        <v>31</v>
      </c>
      <c r="R30" t="str">
        <f t="shared" si="8"/>
        <v>94</v>
      </c>
      <c r="V30">
        <v>3239</v>
      </c>
      <c r="W30" t="s">
        <v>83</v>
      </c>
      <c r="Y30" s="251" t="str">
        <f t="shared" si="9"/>
        <v>32</v>
      </c>
      <c r="Z30" t="str">
        <f t="shared" si="10"/>
        <v>323</v>
      </c>
      <c r="AB30" t="s">
        <v>1824</v>
      </c>
      <c r="AC30" t="s">
        <v>1825</v>
      </c>
      <c r="AD30" t="s">
        <v>5155</v>
      </c>
      <c r="AE30" t="s">
        <v>5156</v>
      </c>
      <c r="AF30" t="s">
        <v>5177</v>
      </c>
      <c r="AG30" t="s">
        <v>5187</v>
      </c>
    </row>
    <row r="31" spans="1:33">
      <c r="A31" s="85" t="str">
        <f>IF(C31="","",VLOOKUP('OPĆI DIO'!$C$3,'OPĆI DIO'!$L$6:$U$138,10,FALSE))</f>
        <v>08006</v>
      </c>
      <c r="B31" s="85" t="str">
        <f>IF(C31="","",VLOOKUP('OPĆI DIO'!$C$3,'OPĆI DIO'!$L$6:$U$138,9,FALSE))</f>
        <v>Sveučilišta i veleučilišta u Republici Hrvatskoj</v>
      </c>
      <c r="C31" s="90">
        <v>31</v>
      </c>
      <c r="D31" s="85" t="str">
        <f t="shared" si="1"/>
        <v>Vlastiti prihodi</v>
      </c>
      <c r="E31" s="90">
        <v>4221</v>
      </c>
      <c r="F31" s="85" t="str">
        <f t="shared" si="2"/>
        <v>Uredska oprema i namještaj</v>
      </c>
      <c r="G31" s="123" t="s">
        <v>145</v>
      </c>
      <c r="H31" s="85" t="str">
        <f t="shared" si="3"/>
        <v>REDOVNA DJELATNOST SVEUČILIŠTA U ZAGREBU (IZ EVIDENCIJSKIH PRIHODA)</v>
      </c>
      <c r="I31" s="85" t="str">
        <f t="shared" si="4"/>
        <v>0942</v>
      </c>
      <c r="J31" s="122">
        <v>22563</v>
      </c>
      <c r="K31" s="290">
        <v>23262</v>
      </c>
      <c r="L31" s="290">
        <v>23983</v>
      </c>
      <c r="M31" s="89"/>
      <c r="O31" t="str">
        <f t="shared" si="5"/>
        <v>422</v>
      </c>
      <c r="P31" t="str">
        <f t="shared" si="6"/>
        <v>42</v>
      </c>
      <c r="Q31" t="str">
        <f t="shared" si="7"/>
        <v>31</v>
      </c>
      <c r="R31" t="str">
        <f t="shared" si="8"/>
        <v>94</v>
      </c>
      <c r="V31">
        <v>3241</v>
      </c>
      <c r="W31" t="s">
        <v>80</v>
      </c>
      <c r="Y31" s="251" t="str">
        <f t="shared" si="9"/>
        <v>32</v>
      </c>
      <c r="Z31" t="str">
        <f t="shared" si="10"/>
        <v>324</v>
      </c>
      <c r="AB31" t="s">
        <v>1826</v>
      </c>
      <c r="AC31" t="s">
        <v>1827</v>
      </c>
      <c r="AD31" t="s">
        <v>5153</v>
      </c>
      <c r="AE31" t="s">
        <v>5154</v>
      </c>
      <c r="AF31" t="s">
        <v>5179</v>
      </c>
      <c r="AG31" t="s">
        <v>5180</v>
      </c>
    </row>
    <row r="32" spans="1:33">
      <c r="A32" s="85" t="str">
        <f>IF(C32="","",VLOOKUP('OPĆI DIO'!$C$3,'OPĆI DIO'!$L$6:$U$138,10,FALSE))</f>
        <v>08006</v>
      </c>
      <c r="B32" s="85" t="str">
        <f>IF(C32="","",VLOOKUP('OPĆI DIO'!$C$3,'OPĆI DIO'!$L$6:$U$138,9,FALSE))</f>
        <v>Sveučilišta i veleučilišta u Republici Hrvatskoj</v>
      </c>
      <c r="C32" s="90">
        <v>31</v>
      </c>
      <c r="D32" s="85" t="str">
        <f t="shared" si="1"/>
        <v>Vlastiti prihodi</v>
      </c>
      <c r="E32" s="90">
        <v>4222</v>
      </c>
      <c r="F32" s="85" t="str">
        <f t="shared" si="2"/>
        <v>Komunikacijska oprema</v>
      </c>
      <c r="G32" s="123" t="s">
        <v>145</v>
      </c>
      <c r="H32" s="85" t="str">
        <f t="shared" si="3"/>
        <v>REDOVNA DJELATNOST SVEUČILIŠTA U ZAGREBU (IZ EVIDENCIJSKIH PRIHODA)</v>
      </c>
      <c r="I32" s="85" t="str">
        <f t="shared" si="4"/>
        <v>0942</v>
      </c>
      <c r="J32" s="122">
        <v>6636</v>
      </c>
      <c r="K32" s="290">
        <v>6842</v>
      </c>
      <c r="L32" s="290">
        <v>7054</v>
      </c>
      <c r="M32" s="89"/>
      <c r="O32" t="str">
        <f t="shared" si="5"/>
        <v>422</v>
      </c>
      <c r="P32" t="str">
        <f t="shared" si="6"/>
        <v>42</v>
      </c>
      <c r="Q32" t="str">
        <f t="shared" si="7"/>
        <v>31</v>
      </c>
      <c r="R32" t="str">
        <f t="shared" si="8"/>
        <v>94</v>
      </c>
      <c r="V32">
        <v>3291</v>
      </c>
      <c r="W32" t="s">
        <v>81</v>
      </c>
      <c r="Y32" s="251" t="str">
        <f t="shared" si="9"/>
        <v>32</v>
      </c>
      <c r="Z32" t="str">
        <f t="shared" si="10"/>
        <v>329</v>
      </c>
      <c r="AB32" t="s">
        <v>1828</v>
      </c>
      <c r="AC32" t="s">
        <v>1829</v>
      </c>
      <c r="AD32" t="s">
        <v>5153</v>
      </c>
      <c r="AE32" t="s">
        <v>5154</v>
      </c>
      <c r="AF32" t="s">
        <v>5179</v>
      </c>
      <c r="AG32" t="s">
        <v>5180</v>
      </c>
    </row>
    <row r="33" spans="1:33">
      <c r="A33" s="85" t="str">
        <f>IF(C33="","",VLOOKUP('OPĆI DIO'!$C$3,'OPĆI DIO'!$L$6:$U$138,10,FALSE))</f>
        <v>08006</v>
      </c>
      <c r="B33" s="85" t="str">
        <f>IF(C33="","",VLOOKUP('OPĆI DIO'!$C$3,'OPĆI DIO'!$L$6:$U$138,9,FALSE))</f>
        <v>Sveučilišta i veleučilišta u Republici Hrvatskoj</v>
      </c>
      <c r="C33" s="90">
        <v>31</v>
      </c>
      <c r="D33" s="85" t="str">
        <f t="shared" si="1"/>
        <v>Vlastiti prihodi</v>
      </c>
      <c r="E33" s="90">
        <v>4223</v>
      </c>
      <c r="F33" s="85" t="str">
        <f t="shared" si="2"/>
        <v>Oprema za održavanje i zaštitu</v>
      </c>
      <c r="G33" s="123" t="s">
        <v>145</v>
      </c>
      <c r="H33" s="85" t="str">
        <f t="shared" si="3"/>
        <v>REDOVNA DJELATNOST SVEUČILIŠTA U ZAGREBU (IZ EVIDENCIJSKIH PRIHODA)</v>
      </c>
      <c r="I33" s="85" t="str">
        <f t="shared" si="4"/>
        <v>0942</v>
      </c>
      <c r="J33" s="122">
        <v>5309</v>
      </c>
      <c r="K33" s="290">
        <v>5473</v>
      </c>
      <c r="L33" s="290">
        <v>5643</v>
      </c>
      <c r="M33" s="89"/>
      <c r="O33" t="str">
        <f t="shared" si="5"/>
        <v>422</v>
      </c>
      <c r="P33" t="str">
        <f t="shared" si="6"/>
        <v>42</v>
      </c>
      <c r="Q33" t="str">
        <f t="shared" si="7"/>
        <v>31</v>
      </c>
      <c r="R33" t="str">
        <f t="shared" si="8"/>
        <v>94</v>
      </c>
      <c r="V33">
        <v>3292</v>
      </c>
      <c r="W33" t="s">
        <v>74</v>
      </c>
      <c r="Y33" s="251" t="str">
        <f t="shared" si="9"/>
        <v>32</v>
      </c>
      <c r="Z33" t="str">
        <f t="shared" si="10"/>
        <v>329</v>
      </c>
      <c r="AB33" t="s">
        <v>1830</v>
      </c>
      <c r="AC33" t="s">
        <v>1831</v>
      </c>
      <c r="AD33" t="s">
        <v>5155</v>
      </c>
      <c r="AE33" t="s">
        <v>5156</v>
      </c>
      <c r="AF33" t="s">
        <v>5177</v>
      </c>
      <c r="AG33" t="s">
        <v>5187</v>
      </c>
    </row>
    <row r="34" spans="1:33">
      <c r="A34" s="85" t="str">
        <f>IF(C34="","",VLOOKUP('OPĆI DIO'!$C$3,'OPĆI DIO'!$L$6:$U$138,10,FALSE))</f>
        <v>08006</v>
      </c>
      <c r="B34" s="85" t="str">
        <f>IF(C34="","",VLOOKUP('OPĆI DIO'!$C$3,'OPĆI DIO'!$L$6:$U$138,9,FALSE))</f>
        <v>Sveučilišta i veleučilišta u Republici Hrvatskoj</v>
      </c>
      <c r="C34" s="90">
        <v>31</v>
      </c>
      <c r="D34" s="85" t="str">
        <f t="shared" si="1"/>
        <v>Vlastiti prihodi</v>
      </c>
      <c r="E34" s="90">
        <v>4225</v>
      </c>
      <c r="F34" s="85" t="str">
        <f t="shared" si="2"/>
        <v>Instrumenti, uređaji i strojevi</v>
      </c>
      <c r="G34" s="123" t="s">
        <v>145</v>
      </c>
      <c r="H34" s="85" t="str">
        <f t="shared" si="3"/>
        <v>REDOVNA DJELATNOST SVEUČILIŠTA U ZAGREBU (IZ EVIDENCIJSKIH PRIHODA)</v>
      </c>
      <c r="I34" s="85" t="str">
        <f t="shared" si="4"/>
        <v>0942</v>
      </c>
      <c r="J34" s="122">
        <v>5309</v>
      </c>
      <c r="K34" s="290">
        <v>5473</v>
      </c>
      <c r="L34" s="290">
        <v>5643</v>
      </c>
      <c r="M34" s="89"/>
      <c r="O34" t="str">
        <f t="shared" si="5"/>
        <v>422</v>
      </c>
      <c r="P34" t="str">
        <f t="shared" si="6"/>
        <v>42</v>
      </c>
      <c r="Q34" t="str">
        <f t="shared" si="7"/>
        <v>31</v>
      </c>
      <c r="R34" t="str">
        <f t="shared" si="8"/>
        <v>94</v>
      </c>
      <c r="V34">
        <v>3293</v>
      </c>
      <c r="W34" t="s">
        <v>84</v>
      </c>
      <c r="Y34" s="251" t="str">
        <f t="shared" si="9"/>
        <v>32</v>
      </c>
      <c r="Z34" t="str">
        <f t="shared" si="10"/>
        <v>329</v>
      </c>
      <c r="AB34" t="s">
        <v>1832</v>
      </c>
      <c r="AC34" t="s">
        <v>1833</v>
      </c>
      <c r="AD34" t="s">
        <v>5153</v>
      </c>
      <c r="AE34" t="s">
        <v>5154</v>
      </c>
      <c r="AF34" t="s">
        <v>5179</v>
      </c>
      <c r="AG34" t="s">
        <v>5180</v>
      </c>
    </row>
    <row r="35" spans="1:33">
      <c r="A35" s="85" t="str">
        <f>IF(C35="","",VLOOKUP('OPĆI DIO'!$C$3,'OPĆI DIO'!$L$6:$U$138,10,FALSE))</f>
        <v>08006</v>
      </c>
      <c r="B35" s="85" t="str">
        <f>IF(C35="","",VLOOKUP('OPĆI DIO'!$C$3,'OPĆI DIO'!$L$6:$U$138,9,FALSE))</f>
        <v>Sveučilišta i veleučilišta u Republici Hrvatskoj</v>
      </c>
      <c r="C35" s="90">
        <v>31</v>
      </c>
      <c r="D35" s="85" t="str">
        <f t="shared" si="1"/>
        <v>Vlastiti prihodi</v>
      </c>
      <c r="E35" s="90">
        <v>4226</v>
      </c>
      <c r="F35" s="85" t="str">
        <f t="shared" si="2"/>
        <v>Sportska i glazbena oprema</v>
      </c>
      <c r="G35" s="123" t="s">
        <v>145</v>
      </c>
      <c r="H35" s="85" t="str">
        <f t="shared" si="3"/>
        <v>REDOVNA DJELATNOST SVEUČILIŠTA U ZAGREBU (IZ EVIDENCIJSKIH PRIHODA)</v>
      </c>
      <c r="I35" s="85" t="str">
        <f t="shared" si="4"/>
        <v>0942</v>
      </c>
      <c r="J35" s="122">
        <v>2920</v>
      </c>
      <c r="K35" s="290">
        <v>3010</v>
      </c>
      <c r="L35" s="290">
        <v>3104</v>
      </c>
      <c r="M35" s="89"/>
      <c r="O35" t="str">
        <f t="shared" si="5"/>
        <v>422</v>
      </c>
      <c r="P35" t="str">
        <f t="shared" si="6"/>
        <v>42</v>
      </c>
      <c r="Q35" t="str">
        <f t="shared" si="7"/>
        <v>31</v>
      </c>
      <c r="R35" t="str">
        <f t="shared" si="8"/>
        <v>94</v>
      </c>
      <c r="V35">
        <v>3293</v>
      </c>
      <c r="W35" t="s">
        <v>131</v>
      </c>
      <c r="Y35" s="251" t="str">
        <f t="shared" si="9"/>
        <v>32</v>
      </c>
      <c r="Z35" t="str">
        <f t="shared" si="10"/>
        <v>329</v>
      </c>
      <c r="AB35" t="s">
        <v>1626</v>
      </c>
      <c r="AC35" t="s">
        <v>1627</v>
      </c>
      <c r="AD35" t="s">
        <v>5155</v>
      </c>
      <c r="AE35" t="s">
        <v>5156</v>
      </c>
      <c r="AF35" t="s">
        <v>5177</v>
      </c>
      <c r="AG35" t="s">
        <v>5187</v>
      </c>
    </row>
    <row r="36" spans="1:33">
      <c r="A36" s="85" t="str">
        <f>IF(C36="","",VLOOKUP('OPĆI DIO'!$C$3,'OPĆI DIO'!$L$6:$U$138,10,FALSE))</f>
        <v>08006</v>
      </c>
      <c r="B36" s="85" t="str">
        <f>IF(C36="","",VLOOKUP('OPĆI DIO'!$C$3,'OPĆI DIO'!$L$6:$U$138,9,FALSE))</f>
        <v>Sveučilišta i veleučilišta u Republici Hrvatskoj</v>
      </c>
      <c r="C36" s="90">
        <v>31</v>
      </c>
      <c r="D36" s="85" t="str">
        <f t="shared" si="1"/>
        <v>Vlastiti prihodi</v>
      </c>
      <c r="E36" s="90">
        <v>4227</v>
      </c>
      <c r="F36" s="85" t="str">
        <f t="shared" si="2"/>
        <v>Uređaji, strojevi i oprema za ostale namjene</v>
      </c>
      <c r="G36" s="123" t="s">
        <v>145</v>
      </c>
      <c r="H36" s="85" t="str">
        <f t="shared" si="3"/>
        <v>REDOVNA DJELATNOST SVEUČILIŠTA U ZAGREBU (IZ EVIDENCIJSKIH PRIHODA)</v>
      </c>
      <c r="I36" s="85" t="str">
        <f t="shared" si="4"/>
        <v>0942</v>
      </c>
      <c r="J36" s="122">
        <v>3716</v>
      </c>
      <c r="K36" s="290">
        <v>3831</v>
      </c>
      <c r="L36" s="290">
        <v>3950</v>
      </c>
      <c r="M36" s="89"/>
      <c r="O36" t="str">
        <f t="shared" si="5"/>
        <v>422</v>
      </c>
      <c r="P36" t="str">
        <f t="shared" si="6"/>
        <v>42</v>
      </c>
      <c r="Q36" t="str">
        <f t="shared" si="7"/>
        <v>31</v>
      </c>
      <c r="R36" t="str">
        <f t="shared" si="8"/>
        <v>94</v>
      </c>
      <c r="V36">
        <v>3294</v>
      </c>
      <c r="W36" t="s">
        <v>85</v>
      </c>
      <c r="Y36" s="251" t="str">
        <f t="shared" si="9"/>
        <v>32</v>
      </c>
      <c r="Z36" t="str">
        <f t="shared" si="10"/>
        <v>329</v>
      </c>
      <c r="AB36" t="s">
        <v>1628</v>
      </c>
      <c r="AC36" t="s">
        <v>1629</v>
      </c>
      <c r="AD36" t="s">
        <v>5155</v>
      </c>
      <c r="AE36" t="s">
        <v>5156</v>
      </c>
      <c r="AF36" t="s">
        <v>5177</v>
      </c>
      <c r="AG36" t="s">
        <v>5187</v>
      </c>
    </row>
    <row r="37" spans="1:33">
      <c r="A37" s="85" t="str">
        <f>IF(C37="","",VLOOKUP('OPĆI DIO'!$C$3,'OPĆI DIO'!$L$6:$U$138,10,FALSE))</f>
        <v>08006</v>
      </c>
      <c r="B37" s="85" t="str">
        <f>IF(C37="","",VLOOKUP('OPĆI DIO'!$C$3,'OPĆI DIO'!$L$6:$U$138,9,FALSE))</f>
        <v>Sveučilišta i veleučilišta u Republici Hrvatskoj</v>
      </c>
      <c r="C37" s="90">
        <v>31</v>
      </c>
      <c r="D37" s="85" t="str">
        <f t="shared" si="1"/>
        <v>Vlastiti prihodi</v>
      </c>
      <c r="E37" s="90">
        <v>4241</v>
      </c>
      <c r="F37" s="85" t="str">
        <f t="shared" si="2"/>
        <v>Knjige</v>
      </c>
      <c r="G37" s="123" t="s">
        <v>145</v>
      </c>
      <c r="H37" s="85" t="str">
        <f t="shared" si="3"/>
        <v>REDOVNA DJELATNOST SVEUČILIŠTA U ZAGREBU (IZ EVIDENCIJSKIH PRIHODA)</v>
      </c>
      <c r="I37" s="85" t="str">
        <f t="shared" si="4"/>
        <v>0942</v>
      </c>
      <c r="J37" s="122">
        <v>11943</v>
      </c>
      <c r="K37" s="290">
        <v>12315</v>
      </c>
      <c r="L37" s="290">
        <v>12697</v>
      </c>
      <c r="M37" s="89"/>
      <c r="O37" t="str">
        <f t="shared" si="5"/>
        <v>424</v>
      </c>
      <c r="P37" t="str">
        <f t="shared" si="6"/>
        <v>42</v>
      </c>
      <c r="Q37" t="str">
        <f t="shared" si="7"/>
        <v>31</v>
      </c>
      <c r="R37" t="str">
        <f t="shared" si="8"/>
        <v>94</v>
      </c>
      <c r="V37">
        <v>3295</v>
      </c>
      <c r="W37" t="s">
        <v>54</v>
      </c>
      <c r="Y37" s="251" t="str">
        <f t="shared" si="9"/>
        <v>32</v>
      </c>
      <c r="Z37" t="str">
        <f t="shared" si="10"/>
        <v>329</v>
      </c>
      <c r="AB37" t="s">
        <v>1834</v>
      </c>
      <c r="AC37" t="s">
        <v>1835</v>
      </c>
      <c r="AD37" t="s">
        <v>5155</v>
      </c>
      <c r="AE37" t="s">
        <v>5156</v>
      </c>
      <c r="AF37" t="s">
        <v>5177</v>
      </c>
      <c r="AG37" t="s">
        <v>5187</v>
      </c>
    </row>
    <row r="38" spans="1:33">
      <c r="A38" s="85" t="str">
        <f>IF(C38="","",VLOOKUP('OPĆI DIO'!$C$3,'OPĆI DIO'!$L$6:$U$138,10,FALSE))</f>
        <v>08006</v>
      </c>
      <c r="B38" s="85" t="str">
        <f>IF(C38="","",VLOOKUP('OPĆI DIO'!$C$3,'OPĆI DIO'!$L$6:$U$138,9,FALSE))</f>
        <v>Sveučilišta i veleučilišta u Republici Hrvatskoj</v>
      </c>
      <c r="C38" s="90">
        <v>31</v>
      </c>
      <c r="D38" s="85" t="str">
        <f t="shared" si="1"/>
        <v>Vlastiti prihodi</v>
      </c>
      <c r="E38" s="90">
        <v>4262</v>
      </c>
      <c r="F38" s="85" t="str">
        <f t="shared" si="2"/>
        <v>Ulaganja u računalne programe</v>
      </c>
      <c r="G38" s="123" t="s">
        <v>145</v>
      </c>
      <c r="H38" s="85" t="str">
        <f t="shared" si="3"/>
        <v>REDOVNA DJELATNOST SVEUČILIŠTA U ZAGREBU (IZ EVIDENCIJSKIH PRIHODA)</v>
      </c>
      <c r="I38" s="85" t="str">
        <f t="shared" si="4"/>
        <v>0942</v>
      </c>
      <c r="J38" s="122">
        <v>3982</v>
      </c>
      <c r="K38" s="290">
        <v>4105</v>
      </c>
      <c r="L38" s="290">
        <v>4232</v>
      </c>
      <c r="M38" s="89"/>
      <c r="O38" t="str">
        <f t="shared" si="5"/>
        <v>426</v>
      </c>
      <c r="P38" t="str">
        <f t="shared" si="6"/>
        <v>42</v>
      </c>
      <c r="Q38" t="str">
        <f t="shared" si="7"/>
        <v>31</v>
      </c>
      <c r="R38" t="str">
        <f t="shared" si="8"/>
        <v>94</v>
      </c>
      <c r="V38">
        <v>3296</v>
      </c>
      <c r="W38" t="s">
        <v>148</v>
      </c>
      <c r="Y38" s="251" t="str">
        <f t="shared" si="9"/>
        <v>32</v>
      </c>
      <c r="Z38" t="str">
        <f t="shared" si="10"/>
        <v>329</v>
      </c>
      <c r="AB38" t="s">
        <v>1836</v>
      </c>
      <c r="AC38" t="s">
        <v>1837</v>
      </c>
      <c r="AD38" t="s">
        <v>5165</v>
      </c>
      <c r="AE38" t="s">
        <v>5166</v>
      </c>
      <c r="AF38" t="s">
        <v>5179</v>
      </c>
      <c r="AG38" t="s">
        <v>5192</v>
      </c>
    </row>
    <row r="39" spans="1:33">
      <c r="A39" s="85" t="str">
        <f>IF(C39="","",VLOOKUP('OPĆI DIO'!$C$3,'OPĆI DIO'!$L$6:$U$138,10,FALSE))</f>
        <v>08006</v>
      </c>
      <c r="B39" s="85" t="str">
        <f>IF(C39="","",VLOOKUP('OPĆI DIO'!$C$3,'OPĆI DIO'!$L$6:$U$138,9,FALSE))</f>
        <v>Sveučilišta i veleučilišta u Republici Hrvatskoj</v>
      </c>
      <c r="C39" s="90">
        <v>43</v>
      </c>
      <c r="D39" s="85" t="str">
        <f t="shared" si="1"/>
        <v>Ostali prihodi za posebne namjene</v>
      </c>
      <c r="E39" s="289">
        <v>3111</v>
      </c>
      <c r="F39" s="85" t="str">
        <f t="shared" si="2"/>
        <v>Plaće za redovan rad</v>
      </c>
      <c r="G39" s="123" t="s">
        <v>145</v>
      </c>
      <c r="H39" s="85" t="str">
        <f t="shared" si="3"/>
        <v>REDOVNA DJELATNOST SVEUČILIŠTA U ZAGREBU (IZ EVIDENCIJSKIH PRIHODA)</v>
      </c>
      <c r="I39" s="85" t="str">
        <f t="shared" si="4"/>
        <v>0942</v>
      </c>
      <c r="J39" s="290">
        <v>836154</v>
      </c>
      <c r="K39" s="290">
        <v>862074</v>
      </c>
      <c r="L39" s="290">
        <v>888799</v>
      </c>
      <c r="M39" s="89"/>
      <c r="O39" t="str">
        <f t="shared" si="5"/>
        <v>311</v>
      </c>
      <c r="P39" t="str">
        <f t="shared" si="6"/>
        <v>31</v>
      </c>
      <c r="Q39" t="str">
        <f t="shared" si="7"/>
        <v>43</v>
      </c>
      <c r="R39" t="str">
        <f t="shared" si="8"/>
        <v>94</v>
      </c>
      <c r="V39">
        <v>3299</v>
      </c>
      <c r="W39" t="s">
        <v>57</v>
      </c>
      <c r="Y39" s="251" t="str">
        <f t="shared" si="9"/>
        <v>32</v>
      </c>
      <c r="Z39" t="str">
        <f t="shared" si="10"/>
        <v>329</v>
      </c>
      <c r="AB39" t="s">
        <v>1836</v>
      </c>
      <c r="AC39" t="s">
        <v>1837</v>
      </c>
      <c r="AD39" t="s">
        <v>5151</v>
      </c>
      <c r="AE39" t="s">
        <v>5152</v>
      </c>
      <c r="AF39" t="s">
        <v>5177</v>
      </c>
      <c r="AG39" t="s">
        <v>5184</v>
      </c>
    </row>
    <row r="40" spans="1:33">
      <c r="A40" s="85" t="str">
        <f>IF(C40="","",VLOOKUP('OPĆI DIO'!$C$3,'OPĆI DIO'!$L$6:$U$138,10,FALSE))</f>
        <v>08006</v>
      </c>
      <c r="B40" s="85" t="str">
        <f>IF(C40="","",VLOOKUP('OPĆI DIO'!$C$3,'OPĆI DIO'!$L$6:$U$138,9,FALSE))</f>
        <v>Sveučilišta i veleučilišta u Republici Hrvatskoj</v>
      </c>
      <c r="C40" s="90">
        <v>43</v>
      </c>
      <c r="D40" s="85" t="str">
        <f t="shared" si="1"/>
        <v>Ostali prihodi za posebne namjene</v>
      </c>
      <c r="E40" s="289">
        <v>3121</v>
      </c>
      <c r="F40" s="85" t="str">
        <f t="shared" si="2"/>
        <v>Ostali rashodi za zaposlene</v>
      </c>
      <c r="G40" s="123" t="s">
        <v>145</v>
      </c>
      <c r="H40" s="85" t="str">
        <f t="shared" si="3"/>
        <v>REDOVNA DJELATNOST SVEUČILIŠTA U ZAGREBU (IZ EVIDENCIJSKIH PRIHODA)</v>
      </c>
      <c r="I40" s="85" t="str">
        <f t="shared" si="4"/>
        <v>0942</v>
      </c>
      <c r="J40" s="290">
        <v>42471</v>
      </c>
      <c r="K40" s="290">
        <v>43788</v>
      </c>
      <c r="L40" s="290">
        <v>45145</v>
      </c>
      <c r="M40" s="89"/>
      <c r="O40" t="str">
        <f t="shared" si="5"/>
        <v>312</v>
      </c>
      <c r="P40" t="str">
        <f t="shared" si="6"/>
        <v>31</v>
      </c>
      <c r="Q40" t="str">
        <f t="shared" si="7"/>
        <v>43</v>
      </c>
      <c r="R40" t="str">
        <f t="shared" si="8"/>
        <v>94</v>
      </c>
      <c r="V40">
        <v>3411</v>
      </c>
      <c r="W40" t="s">
        <v>186</v>
      </c>
      <c r="Y40" s="251" t="str">
        <f t="shared" si="9"/>
        <v>34</v>
      </c>
      <c r="Z40" t="str">
        <f t="shared" si="10"/>
        <v>341</v>
      </c>
      <c r="AB40" t="s">
        <v>1838</v>
      </c>
      <c r="AC40" t="s">
        <v>1839</v>
      </c>
      <c r="AD40" t="s">
        <v>5151</v>
      </c>
      <c r="AE40" t="s">
        <v>5152</v>
      </c>
      <c r="AF40" t="s">
        <v>5177</v>
      </c>
      <c r="AG40" t="s">
        <v>5184</v>
      </c>
    </row>
    <row r="41" spans="1:33">
      <c r="A41" s="85" t="str">
        <f>IF(C41="","",VLOOKUP('OPĆI DIO'!$C$3,'OPĆI DIO'!$L$6:$U$138,10,FALSE))</f>
        <v>08006</v>
      </c>
      <c r="B41" s="85" t="str">
        <f>IF(C41="","",VLOOKUP('OPĆI DIO'!$C$3,'OPĆI DIO'!$L$6:$U$138,9,FALSE))</f>
        <v>Sveučilišta i veleučilišta u Republici Hrvatskoj</v>
      </c>
      <c r="C41" s="90">
        <v>43</v>
      </c>
      <c r="D41" s="85" t="str">
        <f t="shared" si="1"/>
        <v>Ostali prihodi za posebne namjene</v>
      </c>
      <c r="E41" s="289">
        <v>3132</v>
      </c>
      <c r="F41" s="85" t="str">
        <f t="shared" si="2"/>
        <v>Doprinosi za obvezno zdravstveno osiguranje</v>
      </c>
      <c r="G41" s="123" t="s">
        <v>145</v>
      </c>
      <c r="H41" s="85" t="str">
        <f t="shared" si="3"/>
        <v>REDOVNA DJELATNOST SVEUČILIŠTA U ZAGREBU (IZ EVIDENCIJSKIH PRIHODA)</v>
      </c>
      <c r="I41" s="85" t="str">
        <f t="shared" si="4"/>
        <v>0942</v>
      </c>
      <c r="J41" s="290">
        <v>137965</v>
      </c>
      <c r="K41" s="290">
        <v>142242</v>
      </c>
      <c r="L41" s="290">
        <v>146652</v>
      </c>
      <c r="M41" s="89"/>
      <c r="O41" t="str">
        <f t="shared" si="5"/>
        <v>313</v>
      </c>
      <c r="P41" t="str">
        <f t="shared" si="6"/>
        <v>31</v>
      </c>
      <c r="Q41" t="str">
        <f t="shared" si="7"/>
        <v>43</v>
      </c>
      <c r="R41" t="str">
        <f t="shared" si="8"/>
        <v>94</v>
      </c>
      <c r="V41">
        <v>3422</v>
      </c>
      <c r="W41" t="s">
        <v>149</v>
      </c>
      <c r="Y41" s="251" t="str">
        <f t="shared" si="9"/>
        <v>34</v>
      </c>
      <c r="Z41" t="str">
        <f t="shared" si="10"/>
        <v>342</v>
      </c>
      <c r="AB41" t="s">
        <v>1840</v>
      </c>
      <c r="AC41" t="s">
        <v>1841</v>
      </c>
      <c r="AD41" t="s">
        <v>5155</v>
      </c>
      <c r="AE41" t="s">
        <v>5156</v>
      </c>
      <c r="AF41" t="s">
        <v>5177</v>
      </c>
      <c r="AG41" t="s">
        <v>5187</v>
      </c>
    </row>
    <row r="42" spans="1:33">
      <c r="A42" s="85" t="str">
        <f>IF(C42="","",VLOOKUP('OPĆI DIO'!$C$3,'OPĆI DIO'!$L$6:$U$138,10,FALSE))</f>
        <v>08006</v>
      </c>
      <c r="B42" s="85" t="str">
        <f>IF(C42="","",VLOOKUP('OPĆI DIO'!$C$3,'OPĆI DIO'!$L$6:$U$138,9,FALSE))</f>
        <v>Sveučilišta i veleučilišta u Republici Hrvatskoj</v>
      </c>
      <c r="C42" s="90">
        <v>43</v>
      </c>
      <c r="D42" s="85" t="str">
        <f t="shared" si="1"/>
        <v>Ostali prihodi za posebne namjene</v>
      </c>
      <c r="E42" s="289">
        <v>3211</v>
      </c>
      <c r="F42" s="85" t="str">
        <f t="shared" si="2"/>
        <v>Službena putovanja</v>
      </c>
      <c r="G42" s="123" t="s">
        <v>145</v>
      </c>
      <c r="H42" s="85" t="str">
        <f t="shared" si="3"/>
        <v>REDOVNA DJELATNOST SVEUČILIŠTA U ZAGREBU (IZ EVIDENCIJSKIH PRIHODA)</v>
      </c>
      <c r="I42" s="85" t="str">
        <f t="shared" si="4"/>
        <v>0942</v>
      </c>
      <c r="J42" s="290">
        <v>7963</v>
      </c>
      <c r="K42" s="290">
        <v>8210</v>
      </c>
      <c r="L42" s="290">
        <v>8465</v>
      </c>
      <c r="M42" s="89"/>
      <c r="O42" t="str">
        <f t="shared" si="5"/>
        <v>321</v>
      </c>
      <c r="P42" t="str">
        <f t="shared" si="6"/>
        <v>32</v>
      </c>
      <c r="Q42" t="str">
        <f t="shared" si="7"/>
        <v>43</v>
      </c>
      <c r="R42" t="str">
        <f t="shared" si="8"/>
        <v>94</v>
      </c>
      <c r="V42">
        <v>3423</v>
      </c>
      <c r="W42" t="s">
        <v>149</v>
      </c>
      <c r="Y42" s="251" t="str">
        <f t="shared" ref="Y42:Y73" si="11">LEFT(V42,2)</f>
        <v>34</v>
      </c>
      <c r="Z42" t="str">
        <f t="shared" ref="Z42:Z73" si="12">LEFT(V42,3)</f>
        <v>342</v>
      </c>
      <c r="AB42" t="s">
        <v>1842</v>
      </c>
      <c r="AC42" t="s">
        <v>934</v>
      </c>
      <c r="AD42" t="s">
        <v>5165</v>
      </c>
      <c r="AE42" t="s">
        <v>5166</v>
      </c>
      <c r="AF42" t="s">
        <v>5179</v>
      </c>
      <c r="AG42" t="s">
        <v>5192</v>
      </c>
    </row>
    <row r="43" spans="1:33">
      <c r="A43" s="85" t="str">
        <f>IF(C43="","",VLOOKUP('OPĆI DIO'!$C$3,'OPĆI DIO'!$L$6:$U$138,10,FALSE))</f>
        <v>08006</v>
      </c>
      <c r="B43" s="85" t="str">
        <f>IF(C43="","",VLOOKUP('OPĆI DIO'!$C$3,'OPĆI DIO'!$L$6:$U$138,9,FALSE))</f>
        <v>Sveučilišta i veleučilišta u Republici Hrvatskoj</v>
      </c>
      <c r="C43" s="90">
        <v>43</v>
      </c>
      <c r="D43" s="85" t="str">
        <f t="shared" si="1"/>
        <v>Ostali prihodi za posebne namjene</v>
      </c>
      <c r="E43" s="289">
        <v>3212</v>
      </c>
      <c r="F43" s="85" t="str">
        <f t="shared" si="2"/>
        <v>Naknade za prijevoz, za rad na terenu i odvojeni život</v>
      </c>
      <c r="G43" s="123" t="s">
        <v>145</v>
      </c>
      <c r="H43" s="85" t="str">
        <f t="shared" si="3"/>
        <v>REDOVNA DJELATNOST SVEUČILIŠTA U ZAGREBU (IZ EVIDENCIJSKIH PRIHODA)</v>
      </c>
      <c r="I43" s="85" t="str">
        <f t="shared" si="4"/>
        <v>0942</v>
      </c>
      <c r="J43" s="290">
        <v>495</v>
      </c>
      <c r="K43" s="290">
        <v>510</v>
      </c>
      <c r="L43" s="290">
        <v>526</v>
      </c>
      <c r="M43" s="89"/>
      <c r="O43" t="str">
        <f t="shared" si="5"/>
        <v>321</v>
      </c>
      <c r="P43" t="str">
        <f t="shared" si="6"/>
        <v>32</v>
      </c>
      <c r="Q43" t="str">
        <f t="shared" si="7"/>
        <v>43</v>
      </c>
      <c r="R43" t="str">
        <f t="shared" si="8"/>
        <v>94</v>
      </c>
      <c r="V43">
        <v>3427</v>
      </c>
      <c r="W43" t="s">
        <v>188</v>
      </c>
      <c r="Y43" s="251" t="str">
        <f t="shared" si="11"/>
        <v>34</v>
      </c>
      <c r="Z43" t="str">
        <f t="shared" si="12"/>
        <v>342</v>
      </c>
      <c r="AB43" t="s">
        <v>1842</v>
      </c>
      <c r="AC43" t="s">
        <v>934</v>
      </c>
      <c r="AD43" t="s">
        <v>5151</v>
      </c>
      <c r="AE43" t="s">
        <v>5152</v>
      </c>
      <c r="AF43" t="s">
        <v>5177</v>
      </c>
      <c r="AG43" t="s">
        <v>5184</v>
      </c>
    </row>
    <row r="44" spans="1:33">
      <c r="A44" s="85" t="str">
        <f>IF(C44="","",VLOOKUP('OPĆI DIO'!$C$3,'OPĆI DIO'!$L$6:$U$138,10,FALSE))</f>
        <v>08006</v>
      </c>
      <c r="B44" s="85" t="str">
        <f>IF(C44="","",VLOOKUP('OPĆI DIO'!$C$3,'OPĆI DIO'!$L$6:$U$138,9,FALSE))</f>
        <v>Sveučilišta i veleučilišta u Republici Hrvatskoj</v>
      </c>
      <c r="C44" s="90">
        <v>43</v>
      </c>
      <c r="D44" s="85" t="str">
        <f t="shared" si="1"/>
        <v>Ostali prihodi za posebne namjene</v>
      </c>
      <c r="E44" s="289">
        <v>3213</v>
      </c>
      <c r="F44" s="85" t="str">
        <f t="shared" si="2"/>
        <v>Stručno usavršavanje zaposlenika</v>
      </c>
      <c r="G44" s="123" t="s">
        <v>145</v>
      </c>
      <c r="H44" s="85" t="str">
        <f t="shared" si="3"/>
        <v>REDOVNA DJELATNOST SVEUČILIŠTA U ZAGREBU (IZ EVIDENCIJSKIH PRIHODA)</v>
      </c>
      <c r="I44" s="85" t="str">
        <f t="shared" si="4"/>
        <v>0942</v>
      </c>
      <c r="J44" s="290">
        <v>9220</v>
      </c>
      <c r="K44" s="290">
        <v>9506</v>
      </c>
      <c r="L44" s="290">
        <v>9801</v>
      </c>
      <c r="M44" s="89"/>
      <c r="O44" t="str">
        <f t="shared" si="5"/>
        <v>321</v>
      </c>
      <c r="P44" t="str">
        <f t="shared" si="6"/>
        <v>32</v>
      </c>
      <c r="Q44" t="str">
        <f t="shared" si="7"/>
        <v>43</v>
      </c>
      <c r="R44" t="str">
        <f t="shared" si="8"/>
        <v>94</v>
      </c>
      <c r="V44">
        <v>3431</v>
      </c>
      <c r="W44" t="s">
        <v>82</v>
      </c>
      <c r="Y44" s="251" t="str">
        <f t="shared" si="11"/>
        <v>34</v>
      </c>
      <c r="Z44" t="str">
        <f t="shared" si="12"/>
        <v>343</v>
      </c>
      <c r="AB44" t="s">
        <v>1630</v>
      </c>
      <c r="AC44" t="s">
        <v>1631</v>
      </c>
      <c r="AD44" t="s">
        <v>5151</v>
      </c>
      <c r="AE44" t="s">
        <v>5152</v>
      </c>
      <c r="AF44" t="s">
        <v>5177</v>
      </c>
      <c r="AG44" t="s">
        <v>5184</v>
      </c>
    </row>
    <row r="45" spans="1:33">
      <c r="A45" s="85" t="str">
        <f>IF(C45="","",VLOOKUP('OPĆI DIO'!$C$3,'OPĆI DIO'!$L$6:$U$138,10,FALSE))</f>
        <v>08006</v>
      </c>
      <c r="B45" s="85" t="str">
        <f>IF(C45="","",VLOOKUP('OPĆI DIO'!$C$3,'OPĆI DIO'!$L$6:$U$138,9,FALSE))</f>
        <v>Sveučilišta i veleučilišta u Republici Hrvatskoj</v>
      </c>
      <c r="C45" s="90">
        <v>43</v>
      </c>
      <c r="D45" s="85" t="str">
        <f t="shared" si="1"/>
        <v>Ostali prihodi za posebne namjene</v>
      </c>
      <c r="E45" s="289">
        <v>3214</v>
      </c>
      <c r="F45" s="85" t="str">
        <f t="shared" si="2"/>
        <v>Ostale naknade troškova zaposlenima</v>
      </c>
      <c r="G45" s="123" t="s">
        <v>145</v>
      </c>
      <c r="H45" s="85" t="str">
        <f t="shared" si="3"/>
        <v>REDOVNA DJELATNOST SVEUČILIŠTA U ZAGREBU (IZ EVIDENCIJSKIH PRIHODA)</v>
      </c>
      <c r="I45" s="85" t="str">
        <f t="shared" si="4"/>
        <v>0942</v>
      </c>
      <c r="J45" s="290">
        <v>5282</v>
      </c>
      <c r="K45" s="290">
        <v>5446</v>
      </c>
      <c r="L45" s="290">
        <v>5615</v>
      </c>
      <c r="M45" s="89"/>
      <c r="O45" t="str">
        <f t="shared" si="5"/>
        <v>321</v>
      </c>
      <c r="P45" t="str">
        <f t="shared" si="6"/>
        <v>32</v>
      </c>
      <c r="Q45" t="str">
        <f t="shared" si="7"/>
        <v>43</v>
      </c>
      <c r="R45" t="str">
        <f t="shared" si="8"/>
        <v>94</v>
      </c>
      <c r="V45">
        <v>3432</v>
      </c>
      <c r="W45" t="s">
        <v>98</v>
      </c>
      <c r="Y45" s="251" t="str">
        <f t="shared" si="11"/>
        <v>34</v>
      </c>
      <c r="Z45" t="str">
        <f t="shared" si="12"/>
        <v>343</v>
      </c>
      <c r="AB45" t="s">
        <v>1843</v>
      </c>
      <c r="AC45" t="s">
        <v>1844</v>
      </c>
      <c r="AD45" t="s">
        <v>5165</v>
      </c>
      <c r="AE45" t="s">
        <v>5166</v>
      </c>
      <c r="AF45" t="s">
        <v>5179</v>
      </c>
      <c r="AG45" t="s">
        <v>5192</v>
      </c>
    </row>
    <row r="46" spans="1:33">
      <c r="A46" s="85" t="str">
        <f>IF(C46="","",VLOOKUP('OPĆI DIO'!$C$3,'OPĆI DIO'!$L$6:$U$138,10,FALSE))</f>
        <v>08006</v>
      </c>
      <c r="B46" s="85" t="str">
        <f>IF(C46="","",VLOOKUP('OPĆI DIO'!$C$3,'OPĆI DIO'!$L$6:$U$138,9,FALSE))</f>
        <v>Sveučilišta i veleučilišta u Republici Hrvatskoj</v>
      </c>
      <c r="C46" s="90">
        <v>43</v>
      </c>
      <c r="D46" s="85" t="str">
        <f t="shared" si="1"/>
        <v>Ostali prihodi za posebne namjene</v>
      </c>
      <c r="E46" s="289">
        <v>3221</v>
      </c>
      <c r="F46" s="85" t="str">
        <f t="shared" si="2"/>
        <v>Uredski materijal i ostali materijalni rashodi</v>
      </c>
      <c r="G46" s="123" t="s">
        <v>145</v>
      </c>
      <c r="H46" s="85" t="str">
        <f t="shared" si="3"/>
        <v>REDOVNA DJELATNOST SVEUČILIŠTA U ZAGREBU (IZ EVIDENCIJSKIH PRIHODA)</v>
      </c>
      <c r="I46" s="85" t="str">
        <f t="shared" si="4"/>
        <v>0942</v>
      </c>
      <c r="J46" s="290">
        <v>26545</v>
      </c>
      <c r="K46" s="290">
        <v>27367</v>
      </c>
      <c r="L46" s="290">
        <v>28216</v>
      </c>
      <c r="M46" s="89"/>
      <c r="O46" t="str">
        <f t="shared" si="5"/>
        <v>322</v>
      </c>
      <c r="P46" t="str">
        <f t="shared" si="6"/>
        <v>32</v>
      </c>
      <c r="Q46" t="str">
        <f t="shared" si="7"/>
        <v>43</v>
      </c>
      <c r="R46" t="str">
        <f t="shared" si="8"/>
        <v>94</v>
      </c>
      <c r="V46">
        <v>3433</v>
      </c>
      <c r="W46" t="s">
        <v>136</v>
      </c>
      <c r="Y46" s="251" t="str">
        <f t="shared" si="11"/>
        <v>34</v>
      </c>
      <c r="Z46" t="str">
        <f t="shared" si="12"/>
        <v>343</v>
      </c>
      <c r="AB46" t="s">
        <v>1843</v>
      </c>
      <c r="AC46" t="s">
        <v>1844</v>
      </c>
      <c r="AD46" t="s">
        <v>5167</v>
      </c>
      <c r="AE46" t="s">
        <v>5168</v>
      </c>
      <c r="AF46" t="s">
        <v>5177</v>
      </c>
      <c r="AG46" t="s">
        <v>5188</v>
      </c>
    </row>
    <row r="47" spans="1:33">
      <c r="A47" s="85" t="str">
        <f>IF(C47="","",VLOOKUP('OPĆI DIO'!$C$3,'OPĆI DIO'!$L$6:$U$138,10,FALSE))</f>
        <v>08006</v>
      </c>
      <c r="B47" s="85" t="str">
        <f>IF(C47="","",VLOOKUP('OPĆI DIO'!$C$3,'OPĆI DIO'!$L$6:$U$138,9,FALSE))</f>
        <v>Sveučilišta i veleučilišta u Republici Hrvatskoj</v>
      </c>
      <c r="C47" s="90">
        <v>43</v>
      </c>
      <c r="D47" s="85" t="str">
        <f t="shared" si="1"/>
        <v>Ostali prihodi za posebne namjene</v>
      </c>
      <c r="E47" s="289">
        <v>3222</v>
      </c>
      <c r="F47" s="85" t="str">
        <f t="shared" si="2"/>
        <v>Materijal i sirovine</v>
      </c>
      <c r="G47" s="123" t="s">
        <v>145</v>
      </c>
      <c r="H47" s="85" t="str">
        <f t="shared" si="3"/>
        <v>REDOVNA DJELATNOST SVEUČILIŠTA U ZAGREBU (IZ EVIDENCIJSKIH PRIHODA)</v>
      </c>
      <c r="I47" s="85" t="str">
        <f t="shared" si="4"/>
        <v>0942</v>
      </c>
      <c r="J47" s="290">
        <v>9954</v>
      </c>
      <c r="K47" s="290">
        <v>10263</v>
      </c>
      <c r="L47" s="290">
        <v>10581</v>
      </c>
      <c r="M47" s="89"/>
      <c r="O47" t="str">
        <f t="shared" si="5"/>
        <v>322</v>
      </c>
      <c r="P47" t="str">
        <f t="shared" si="6"/>
        <v>32</v>
      </c>
      <c r="Q47" t="str">
        <f t="shared" si="7"/>
        <v>43</v>
      </c>
      <c r="R47" t="str">
        <f t="shared" si="8"/>
        <v>94</v>
      </c>
      <c r="V47">
        <v>3434</v>
      </c>
      <c r="W47" t="s">
        <v>67</v>
      </c>
      <c r="Y47" s="251" t="str">
        <f t="shared" si="11"/>
        <v>34</v>
      </c>
      <c r="Z47" t="str">
        <f t="shared" si="12"/>
        <v>343</v>
      </c>
      <c r="AB47" t="s">
        <v>1845</v>
      </c>
      <c r="AC47" t="s">
        <v>1846</v>
      </c>
      <c r="AD47" t="s">
        <v>5167</v>
      </c>
      <c r="AE47" t="s">
        <v>5168</v>
      </c>
      <c r="AF47" t="s">
        <v>5177</v>
      </c>
      <c r="AG47" t="s">
        <v>5188</v>
      </c>
    </row>
    <row r="48" spans="1:33">
      <c r="A48" s="85" t="str">
        <f>IF(C48="","",VLOOKUP('OPĆI DIO'!$C$3,'OPĆI DIO'!$L$6:$U$138,10,FALSE))</f>
        <v>08006</v>
      </c>
      <c r="B48" s="85" t="str">
        <f>IF(C48="","",VLOOKUP('OPĆI DIO'!$C$3,'OPĆI DIO'!$L$6:$U$138,9,FALSE))</f>
        <v>Sveučilišta i veleučilišta u Republici Hrvatskoj</v>
      </c>
      <c r="C48" s="90">
        <v>43</v>
      </c>
      <c r="D48" s="85" t="str">
        <f t="shared" si="1"/>
        <v>Ostali prihodi za posebne namjene</v>
      </c>
      <c r="E48" s="289">
        <v>3223</v>
      </c>
      <c r="F48" s="85" t="str">
        <f t="shared" si="2"/>
        <v>Energija</v>
      </c>
      <c r="G48" s="123" t="s">
        <v>145</v>
      </c>
      <c r="H48" s="85" t="str">
        <f t="shared" si="3"/>
        <v>REDOVNA DJELATNOST SVEUČILIŠTA U ZAGREBU (IZ EVIDENCIJSKIH PRIHODA)</v>
      </c>
      <c r="I48" s="85" t="str">
        <f t="shared" si="4"/>
        <v>0942</v>
      </c>
      <c r="J48" s="290">
        <v>43402</v>
      </c>
      <c r="K48" s="290">
        <v>44746</v>
      </c>
      <c r="L48" s="290">
        <v>46133</v>
      </c>
      <c r="M48" s="89"/>
      <c r="O48" t="str">
        <f t="shared" si="5"/>
        <v>322</v>
      </c>
      <c r="P48" t="str">
        <f t="shared" si="6"/>
        <v>32</v>
      </c>
      <c r="Q48" t="str">
        <f t="shared" si="7"/>
        <v>43</v>
      </c>
      <c r="R48" t="str">
        <f t="shared" si="8"/>
        <v>94</v>
      </c>
      <c r="V48">
        <v>3511</v>
      </c>
      <c r="W48" t="s">
        <v>179</v>
      </c>
      <c r="Y48" s="251" t="str">
        <f t="shared" si="11"/>
        <v>35</v>
      </c>
      <c r="Z48" t="str">
        <f t="shared" si="12"/>
        <v>351</v>
      </c>
      <c r="AB48" t="s">
        <v>1847</v>
      </c>
      <c r="AC48" t="s">
        <v>1848</v>
      </c>
      <c r="AD48" t="s">
        <v>5167</v>
      </c>
      <c r="AE48" t="s">
        <v>5168</v>
      </c>
      <c r="AF48" t="s">
        <v>5177</v>
      </c>
      <c r="AG48" t="s">
        <v>5188</v>
      </c>
    </row>
    <row r="49" spans="1:33">
      <c r="A49" s="85" t="str">
        <f>IF(C49="","",VLOOKUP('OPĆI DIO'!$C$3,'OPĆI DIO'!$L$6:$U$138,10,FALSE))</f>
        <v>08006</v>
      </c>
      <c r="B49" s="85" t="str">
        <f>IF(C49="","",VLOOKUP('OPĆI DIO'!$C$3,'OPĆI DIO'!$L$6:$U$138,9,FALSE))</f>
        <v>Sveučilišta i veleučilišta u Republici Hrvatskoj</v>
      </c>
      <c r="C49" s="90">
        <v>43</v>
      </c>
      <c r="D49" s="85" t="str">
        <f t="shared" si="1"/>
        <v>Ostali prihodi za posebne namjene</v>
      </c>
      <c r="E49" s="289">
        <v>3224</v>
      </c>
      <c r="F49" s="85" t="str">
        <f t="shared" si="2"/>
        <v>Materijal i dijelovi za tekuće i investicijsko održavanje</v>
      </c>
      <c r="G49" s="123" t="s">
        <v>145</v>
      </c>
      <c r="H49" s="85" t="str">
        <f t="shared" si="3"/>
        <v>REDOVNA DJELATNOST SVEUČILIŠTA U ZAGREBU (IZ EVIDENCIJSKIH PRIHODA)</v>
      </c>
      <c r="I49" s="85" t="str">
        <f t="shared" si="4"/>
        <v>0942</v>
      </c>
      <c r="J49" s="290">
        <v>2654</v>
      </c>
      <c r="K49" s="290">
        <v>2737</v>
      </c>
      <c r="L49" s="290">
        <v>2822</v>
      </c>
      <c r="M49" s="89"/>
      <c r="O49" t="str">
        <f t="shared" si="5"/>
        <v>322</v>
      </c>
      <c r="P49" t="str">
        <f t="shared" si="6"/>
        <v>32</v>
      </c>
      <c r="Q49" t="str">
        <f t="shared" si="7"/>
        <v>43</v>
      </c>
      <c r="R49" t="str">
        <f t="shared" si="8"/>
        <v>94</v>
      </c>
      <c r="V49">
        <v>3512</v>
      </c>
      <c r="W49" t="s">
        <v>181</v>
      </c>
      <c r="Y49" s="251" t="str">
        <f t="shared" si="11"/>
        <v>35</v>
      </c>
      <c r="Z49" t="str">
        <f t="shared" si="12"/>
        <v>351</v>
      </c>
      <c r="AB49" t="s">
        <v>1849</v>
      </c>
      <c r="AC49" t="s">
        <v>934</v>
      </c>
      <c r="AD49" t="s">
        <v>5165</v>
      </c>
      <c r="AE49" t="s">
        <v>5166</v>
      </c>
      <c r="AF49" t="s">
        <v>5179</v>
      </c>
      <c r="AG49" t="s">
        <v>5192</v>
      </c>
    </row>
    <row r="50" spans="1:33">
      <c r="A50" s="85" t="str">
        <f>IF(C50="","",VLOOKUP('OPĆI DIO'!$C$3,'OPĆI DIO'!$L$6:$U$138,10,FALSE))</f>
        <v>08006</v>
      </c>
      <c r="B50" s="85" t="str">
        <f>IF(C50="","",VLOOKUP('OPĆI DIO'!$C$3,'OPĆI DIO'!$L$6:$U$138,9,FALSE))</f>
        <v>Sveučilišta i veleučilišta u Republici Hrvatskoj</v>
      </c>
      <c r="C50" s="90">
        <v>43</v>
      </c>
      <c r="D50" s="85" t="str">
        <f t="shared" si="1"/>
        <v>Ostali prihodi za posebne namjene</v>
      </c>
      <c r="E50" s="289">
        <v>3225</v>
      </c>
      <c r="F50" s="85" t="str">
        <f t="shared" si="2"/>
        <v>Sitni inventar i auto gume</v>
      </c>
      <c r="G50" s="123" t="s">
        <v>145</v>
      </c>
      <c r="H50" s="85" t="str">
        <f t="shared" si="3"/>
        <v>REDOVNA DJELATNOST SVEUČILIŠTA U ZAGREBU (IZ EVIDENCIJSKIH PRIHODA)</v>
      </c>
      <c r="I50" s="85" t="str">
        <f t="shared" si="4"/>
        <v>0942</v>
      </c>
      <c r="J50" s="290">
        <v>5043</v>
      </c>
      <c r="K50" s="290">
        <v>5200</v>
      </c>
      <c r="L50" s="290">
        <v>5361</v>
      </c>
      <c r="M50" s="89"/>
      <c r="O50" t="str">
        <f t="shared" si="5"/>
        <v>322</v>
      </c>
      <c r="P50" t="str">
        <f t="shared" si="6"/>
        <v>32</v>
      </c>
      <c r="Q50" t="str">
        <f t="shared" si="7"/>
        <v>43</v>
      </c>
      <c r="R50" t="str">
        <f t="shared" si="8"/>
        <v>94</v>
      </c>
      <c r="V50">
        <v>3522</v>
      </c>
      <c r="W50" t="s">
        <v>234</v>
      </c>
      <c r="Y50" s="251" t="str">
        <f t="shared" si="11"/>
        <v>35</v>
      </c>
      <c r="Z50" t="str">
        <f t="shared" si="12"/>
        <v>352</v>
      </c>
      <c r="AB50" t="s">
        <v>1632</v>
      </c>
      <c r="AC50" t="s">
        <v>1117</v>
      </c>
      <c r="AD50" t="s">
        <v>5167</v>
      </c>
      <c r="AE50" t="s">
        <v>5168</v>
      </c>
      <c r="AF50" t="s">
        <v>5177</v>
      </c>
      <c r="AG50" t="s">
        <v>5188</v>
      </c>
    </row>
    <row r="51" spans="1:33">
      <c r="A51" s="85" t="str">
        <f>IF(C51="","",VLOOKUP('OPĆI DIO'!$C$3,'OPĆI DIO'!$L$6:$U$138,10,FALSE))</f>
        <v>08006</v>
      </c>
      <c r="B51" s="85" t="str">
        <f>IF(C51="","",VLOOKUP('OPĆI DIO'!$C$3,'OPĆI DIO'!$L$6:$U$138,9,FALSE))</f>
        <v>Sveučilišta i veleučilišta u Republici Hrvatskoj</v>
      </c>
      <c r="C51" s="90">
        <v>43</v>
      </c>
      <c r="D51" s="85" t="str">
        <f t="shared" si="1"/>
        <v>Ostali prihodi za posebne namjene</v>
      </c>
      <c r="E51" s="289">
        <v>3227</v>
      </c>
      <c r="F51" s="85" t="str">
        <f t="shared" si="2"/>
        <v>Službena, radna i zaštitna odjeća i obuća</v>
      </c>
      <c r="G51" s="123" t="s">
        <v>145</v>
      </c>
      <c r="H51" s="85" t="str">
        <f t="shared" si="3"/>
        <v>REDOVNA DJELATNOST SVEUČILIŠTA U ZAGREBU (IZ EVIDENCIJSKIH PRIHODA)</v>
      </c>
      <c r="I51" s="85" t="str">
        <f t="shared" si="4"/>
        <v>0942</v>
      </c>
      <c r="J51" s="290">
        <v>2654</v>
      </c>
      <c r="K51" s="290">
        <v>2737</v>
      </c>
      <c r="L51" s="290">
        <v>2822</v>
      </c>
      <c r="M51" s="89"/>
      <c r="O51" t="str">
        <f t="shared" si="5"/>
        <v>322</v>
      </c>
      <c r="P51" t="str">
        <f t="shared" si="6"/>
        <v>32</v>
      </c>
      <c r="Q51" t="str">
        <f t="shared" si="7"/>
        <v>43</v>
      </c>
      <c r="R51" t="str">
        <f t="shared" si="8"/>
        <v>94</v>
      </c>
      <c r="V51">
        <v>3531</v>
      </c>
      <c r="W51" t="s">
        <v>133</v>
      </c>
      <c r="Y51" s="251" t="str">
        <f t="shared" si="11"/>
        <v>35</v>
      </c>
      <c r="Z51" t="str">
        <f t="shared" si="12"/>
        <v>353</v>
      </c>
      <c r="AB51" t="s">
        <v>1850</v>
      </c>
      <c r="AC51" t="s">
        <v>1851</v>
      </c>
      <c r="AD51" t="s">
        <v>5167</v>
      </c>
      <c r="AE51" t="s">
        <v>5168</v>
      </c>
      <c r="AF51" t="s">
        <v>5177</v>
      </c>
      <c r="AG51" t="s">
        <v>5188</v>
      </c>
    </row>
    <row r="52" spans="1:33">
      <c r="A52" s="85" t="str">
        <f>IF(C52="","",VLOOKUP('OPĆI DIO'!$C$3,'OPĆI DIO'!$L$6:$U$138,10,FALSE))</f>
        <v>08006</v>
      </c>
      <c r="B52" s="85" t="str">
        <f>IF(C52="","",VLOOKUP('OPĆI DIO'!$C$3,'OPĆI DIO'!$L$6:$U$138,9,FALSE))</f>
        <v>Sveučilišta i veleučilišta u Republici Hrvatskoj</v>
      </c>
      <c r="C52" s="90">
        <v>43</v>
      </c>
      <c r="D52" s="85" t="str">
        <f t="shared" si="1"/>
        <v>Ostali prihodi za posebne namjene</v>
      </c>
      <c r="E52" s="289">
        <v>3231</v>
      </c>
      <c r="F52" s="85" t="str">
        <f t="shared" si="2"/>
        <v>Usluge telefona, pošte i prijevoza</v>
      </c>
      <c r="G52" s="123" t="s">
        <v>145</v>
      </c>
      <c r="H52" s="85" t="str">
        <f t="shared" si="3"/>
        <v>REDOVNA DJELATNOST SVEUČILIŠTA U ZAGREBU (IZ EVIDENCIJSKIH PRIHODA)</v>
      </c>
      <c r="I52" s="85" t="str">
        <f t="shared" si="4"/>
        <v>0942</v>
      </c>
      <c r="J52" s="290">
        <v>10618</v>
      </c>
      <c r="K52" s="290">
        <v>10947</v>
      </c>
      <c r="L52" s="290">
        <v>11286</v>
      </c>
      <c r="M52" s="89"/>
      <c r="O52" t="str">
        <f t="shared" si="5"/>
        <v>323</v>
      </c>
      <c r="P52" t="str">
        <f t="shared" si="6"/>
        <v>32</v>
      </c>
      <c r="Q52" t="str">
        <f t="shared" si="7"/>
        <v>43</v>
      </c>
      <c r="R52" t="str">
        <f t="shared" si="8"/>
        <v>94</v>
      </c>
      <c r="V52">
        <v>3611</v>
      </c>
      <c r="W52" t="s">
        <v>87</v>
      </c>
      <c r="Y52" s="251" t="str">
        <f t="shared" si="11"/>
        <v>36</v>
      </c>
      <c r="Z52" t="str">
        <f t="shared" si="12"/>
        <v>361</v>
      </c>
      <c r="AB52" t="s">
        <v>1633</v>
      </c>
      <c r="AC52" t="s">
        <v>1634</v>
      </c>
      <c r="AD52" t="s">
        <v>5167</v>
      </c>
      <c r="AE52" t="s">
        <v>5168</v>
      </c>
      <c r="AF52" t="s">
        <v>5177</v>
      </c>
      <c r="AG52" t="s">
        <v>5188</v>
      </c>
    </row>
    <row r="53" spans="1:33">
      <c r="A53" s="85" t="str">
        <f>IF(C53="","",VLOOKUP('OPĆI DIO'!$C$3,'OPĆI DIO'!$L$6:$U$138,10,FALSE))</f>
        <v>08006</v>
      </c>
      <c r="B53" s="85" t="str">
        <f>IF(C53="","",VLOOKUP('OPĆI DIO'!$C$3,'OPĆI DIO'!$L$6:$U$138,9,FALSE))</f>
        <v>Sveučilišta i veleučilišta u Republici Hrvatskoj</v>
      </c>
      <c r="C53" s="90">
        <v>43</v>
      </c>
      <c r="D53" s="85" t="str">
        <f t="shared" si="1"/>
        <v>Ostali prihodi za posebne namjene</v>
      </c>
      <c r="E53" s="289">
        <v>3232</v>
      </c>
      <c r="F53" s="85" t="str">
        <f t="shared" si="2"/>
        <v>Usluge tekućeg i investicijskog održavanja</v>
      </c>
      <c r="G53" s="123" t="s">
        <v>145</v>
      </c>
      <c r="H53" s="85" t="str">
        <f t="shared" si="3"/>
        <v>REDOVNA DJELATNOST SVEUČILIŠTA U ZAGREBU (IZ EVIDENCIJSKIH PRIHODA)</v>
      </c>
      <c r="I53" s="85" t="str">
        <f t="shared" si="4"/>
        <v>0942</v>
      </c>
      <c r="J53" s="290">
        <v>92906</v>
      </c>
      <c r="K53" s="290">
        <v>95786</v>
      </c>
      <c r="L53" s="290">
        <v>98755</v>
      </c>
      <c r="M53" s="89"/>
      <c r="O53" t="str">
        <f t="shared" si="5"/>
        <v>323</v>
      </c>
      <c r="P53" t="str">
        <f t="shared" si="6"/>
        <v>32</v>
      </c>
      <c r="Q53" t="str">
        <f t="shared" si="7"/>
        <v>43</v>
      </c>
      <c r="R53" t="str">
        <f t="shared" si="8"/>
        <v>94</v>
      </c>
      <c r="V53">
        <v>3621</v>
      </c>
      <c r="W53" t="s">
        <v>137</v>
      </c>
      <c r="Y53" s="251" t="str">
        <f t="shared" si="11"/>
        <v>36</v>
      </c>
      <c r="Z53" t="str">
        <f t="shared" si="12"/>
        <v>362</v>
      </c>
      <c r="AB53" t="s">
        <v>1852</v>
      </c>
      <c r="AC53" t="s">
        <v>1853</v>
      </c>
      <c r="AD53" t="s">
        <v>5169</v>
      </c>
      <c r="AE53" t="s">
        <v>5170</v>
      </c>
      <c r="AF53" t="s">
        <v>5177</v>
      </c>
      <c r="AG53" t="s">
        <v>5190</v>
      </c>
    </row>
    <row r="54" spans="1:33">
      <c r="A54" s="85" t="str">
        <f>IF(C54="","",VLOOKUP('OPĆI DIO'!$C$3,'OPĆI DIO'!$L$6:$U$138,10,FALSE))</f>
        <v>08006</v>
      </c>
      <c r="B54" s="85" t="str">
        <f>IF(C54="","",VLOOKUP('OPĆI DIO'!$C$3,'OPĆI DIO'!$L$6:$U$138,9,FALSE))</f>
        <v>Sveučilišta i veleučilišta u Republici Hrvatskoj</v>
      </c>
      <c r="C54" s="90">
        <v>43</v>
      </c>
      <c r="D54" s="85" t="str">
        <f t="shared" si="1"/>
        <v>Ostali prihodi za posebne namjene</v>
      </c>
      <c r="E54" s="289">
        <v>3233</v>
      </c>
      <c r="F54" s="85" t="str">
        <f t="shared" si="2"/>
        <v>Usluge promidžbe i informiranja</v>
      </c>
      <c r="G54" s="123" t="s">
        <v>145</v>
      </c>
      <c r="H54" s="85" t="str">
        <f t="shared" si="3"/>
        <v>REDOVNA DJELATNOST SVEUČILIŠTA U ZAGREBU (IZ EVIDENCIJSKIH PRIHODA)</v>
      </c>
      <c r="I54" s="85" t="str">
        <f t="shared" si="4"/>
        <v>0942</v>
      </c>
      <c r="J54" s="290">
        <v>9025</v>
      </c>
      <c r="K54" s="290">
        <v>9305</v>
      </c>
      <c r="L54" s="290">
        <v>9593</v>
      </c>
      <c r="M54" s="89"/>
      <c r="O54" t="str">
        <f t="shared" si="5"/>
        <v>323</v>
      </c>
      <c r="P54" t="str">
        <f t="shared" si="6"/>
        <v>32</v>
      </c>
      <c r="Q54" t="str">
        <f t="shared" si="7"/>
        <v>43</v>
      </c>
      <c r="R54" t="str">
        <f t="shared" si="8"/>
        <v>94</v>
      </c>
      <c r="V54">
        <v>3631</v>
      </c>
      <c r="W54" t="s">
        <v>178</v>
      </c>
      <c r="Y54" s="251" t="str">
        <f t="shared" si="11"/>
        <v>36</v>
      </c>
      <c r="Z54" t="str">
        <f t="shared" si="12"/>
        <v>363</v>
      </c>
      <c r="AB54" t="s">
        <v>1854</v>
      </c>
      <c r="AC54" t="s">
        <v>1855</v>
      </c>
      <c r="AD54" t="s">
        <v>5169</v>
      </c>
      <c r="AE54" t="s">
        <v>5170</v>
      </c>
      <c r="AF54" t="s">
        <v>5177</v>
      </c>
      <c r="AG54" t="s">
        <v>5190</v>
      </c>
    </row>
    <row r="55" spans="1:33">
      <c r="A55" s="85" t="str">
        <f>IF(C55="","",VLOOKUP('OPĆI DIO'!$C$3,'OPĆI DIO'!$L$6:$U$138,10,FALSE))</f>
        <v>08006</v>
      </c>
      <c r="B55" s="85" t="str">
        <f>IF(C55="","",VLOOKUP('OPĆI DIO'!$C$3,'OPĆI DIO'!$L$6:$U$138,9,FALSE))</f>
        <v>Sveučilišta i veleučilišta u Republici Hrvatskoj</v>
      </c>
      <c r="C55" s="90">
        <v>43</v>
      </c>
      <c r="D55" s="85" t="str">
        <f t="shared" si="1"/>
        <v>Ostali prihodi za posebne namjene</v>
      </c>
      <c r="E55" s="289">
        <v>3234</v>
      </c>
      <c r="F55" s="85" t="str">
        <f t="shared" si="2"/>
        <v>Komunalne usluge</v>
      </c>
      <c r="G55" s="123" t="s">
        <v>145</v>
      </c>
      <c r="H55" s="85" t="str">
        <f t="shared" si="3"/>
        <v>REDOVNA DJELATNOST SVEUČILIŠTA U ZAGREBU (IZ EVIDENCIJSKIH PRIHODA)</v>
      </c>
      <c r="I55" s="85" t="str">
        <f t="shared" si="4"/>
        <v>0942</v>
      </c>
      <c r="J55" s="290">
        <v>11414</v>
      </c>
      <c r="K55" s="290">
        <v>11768</v>
      </c>
      <c r="L55" s="290">
        <v>12133</v>
      </c>
      <c r="M55" s="89"/>
      <c r="O55" t="str">
        <f t="shared" si="5"/>
        <v>323</v>
      </c>
      <c r="P55" t="str">
        <f t="shared" si="6"/>
        <v>32</v>
      </c>
      <c r="Q55" t="str">
        <f t="shared" si="7"/>
        <v>43</v>
      </c>
      <c r="R55" t="str">
        <f t="shared" si="8"/>
        <v>94</v>
      </c>
      <c r="V55">
        <v>3632</v>
      </c>
      <c r="W55" t="s">
        <v>235</v>
      </c>
      <c r="Y55" s="251" t="str">
        <f t="shared" si="11"/>
        <v>36</v>
      </c>
      <c r="Z55" t="str">
        <f t="shared" si="12"/>
        <v>363</v>
      </c>
      <c r="AB55" t="s">
        <v>1856</v>
      </c>
      <c r="AC55" t="s">
        <v>1857</v>
      </c>
      <c r="AD55" t="s">
        <v>5169</v>
      </c>
      <c r="AE55" t="s">
        <v>5170</v>
      </c>
      <c r="AF55" t="s">
        <v>5177</v>
      </c>
      <c r="AG55" t="s">
        <v>5190</v>
      </c>
    </row>
    <row r="56" spans="1:33">
      <c r="A56" s="85" t="str">
        <f>IF(C56="","",VLOOKUP('OPĆI DIO'!$C$3,'OPĆI DIO'!$L$6:$U$138,10,FALSE))</f>
        <v>08006</v>
      </c>
      <c r="B56" s="85" t="str">
        <f>IF(C56="","",VLOOKUP('OPĆI DIO'!$C$3,'OPĆI DIO'!$L$6:$U$138,9,FALSE))</f>
        <v>Sveučilišta i veleučilišta u Republici Hrvatskoj</v>
      </c>
      <c r="C56" s="90">
        <v>43</v>
      </c>
      <c r="D56" s="85" t="str">
        <f t="shared" si="1"/>
        <v>Ostali prihodi za posebne namjene</v>
      </c>
      <c r="E56" s="289">
        <v>3235</v>
      </c>
      <c r="F56" s="85" t="str">
        <f t="shared" si="2"/>
        <v>Zakupnine i najamnine</v>
      </c>
      <c r="G56" s="123" t="s">
        <v>145</v>
      </c>
      <c r="H56" s="85" t="str">
        <f t="shared" si="3"/>
        <v>REDOVNA DJELATNOST SVEUČILIŠTA U ZAGREBU (IZ EVIDENCIJSKIH PRIHODA)</v>
      </c>
      <c r="I56" s="85" t="str">
        <f t="shared" si="4"/>
        <v>0942</v>
      </c>
      <c r="J56" s="290">
        <v>3451</v>
      </c>
      <c r="K56" s="290">
        <v>3558</v>
      </c>
      <c r="L56" s="290">
        <v>3668</v>
      </c>
      <c r="M56" s="89"/>
      <c r="O56" t="str">
        <f t="shared" si="5"/>
        <v>323</v>
      </c>
      <c r="P56" t="str">
        <f t="shared" si="6"/>
        <v>32</v>
      </c>
      <c r="Q56" t="str">
        <f t="shared" si="7"/>
        <v>43</v>
      </c>
      <c r="R56" t="str">
        <f t="shared" si="8"/>
        <v>94</v>
      </c>
      <c r="V56">
        <v>3661</v>
      </c>
      <c r="W56" t="s">
        <v>99</v>
      </c>
      <c r="Y56" s="251" t="str">
        <f t="shared" si="11"/>
        <v>36</v>
      </c>
      <c r="Z56" t="str">
        <f t="shared" si="12"/>
        <v>366</v>
      </c>
      <c r="AB56" t="s">
        <v>1858</v>
      </c>
      <c r="AC56" t="s">
        <v>1859</v>
      </c>
      <c r="AD56" t="s">
        <v>5169</v>
      </c>
      <c r="AE56" t="s">
        <v>5170</v>
      </c>
      <c r="AF56" t="s">
        <v>5177</v>
      </c>
      <c r="AG56" t="s">
        <v>5190</v>
      </c>
    </row>
    <row r="57" spans="1:33">
      <c r="A57" s="85" t="str">
        <f>IF(C57="","",VLOOKUP('OPĆI DIO'!$C$3,'OPĆI DIO'!$L$6:$U$138,10,FALSE))</f>
        <v>08006</v>
      </c>
      <c r="B57" s="85" t="str">
        <f>IF(C57="","",VLOOKUP('OPĆI DIO'!$C$3,'OPĆI DIO'!$L$6:$U$138,9,FALSE))</f>
        <v>Sveučilišta i veleučilišta u Republici Hrvatskoj</v>
      </c>
      <c r="C57" s="90">
        <v>43</v>
      </c>
      <c r="D57" s="85" t="str">
        <f t="shared" si="1"/>
        <v>Ostali prihodi za posebne namjene</v>
      </c>
      <c r="E57" s="289">
        <v>3236</v>
      </c>
      <c r="F57" s="85" t="str">
        <f t="shared" si="2"/>
        <v>Zdravstvene i veterinarske usluge</v>
      </c>
      <c r="G57" s="123" t="s">
        <v>145</v>
      </c>
      <c r="H57" s="85" t="str">
        <f t="shared" si="3"/>
        <v>REDOVNA DJELATNOST SVEUČILIŠTA U ZAGREBU (IZ EVIDENCIJSKIH PRIHODA)</v>
      </c>
      <c r="I57" s="85" t="str">
        <f t="shared" si="4"/>
        <v>0942</v>
      </c>
      <c r="J57" s="290">
        <v>3318</v>
      </c>
      <c r="K57" s="290">
        <v>3421</v>
      </c>
      <c r="L57" s="290">
        <v>3527</v>
      </c>
      <c r="M57" s="89"/>
      <c r="O57" t="str">
        <f t="shared" si="5"/>
        <v>323</v>
      </c>
      <c r="P57" t="str">
        <f t="shared" si="6"/>
        <v>32</v>
      </c>
      <c r="Q57" t="str">
        <f t="shared" si="7"/>
        <v>43</v>
      </c>
      <c r="R57" t="str">
        <f t="shared" si="8"/>
        <v>94</v>
      </c>
      <c r="V57">
        <v>3662</v>
      </c>
      <c r="W57" t="s">
        <v>182</v>
      </c>
      <c r="Y57" s="251" t="str">
        <f t="shared" si="11"/>
        <v>36</v>
      </c>
      <c r="Z57" t="str">
        <f t="shared" si="12"/>
        <v>366</v>
      </c>
      <c r="AB57" t="s">
        <v>1860</v>
      </c>
      <c r="AC57" t="s">
        <v>1861</v>
      </c>
      <c r="AD57" t="s">
        <v>5169</v>
      </c>
      <c r="AE57" t="s">
        <v>5170</v>
      </c>
      <c r="AF57" t="s">
        <v>5177</v>
      </c>
      <c r="AG57" t="s">
        <v>5190</v>
      </c>
    </row>
    <row r="58" spans="1:33">
      <c r="A58" s="85" t="str">
        <f>IF(C58="","",VLOOKUP('OPĆI DIO'!$C$3,'OPĆI DIO'!$L$6:$U$138,10,FALSE))</f>
        <v>08006</v>
      </c>
      <c r="B58" s="85" t="str">
        <f>IF(C58="","",VLOOKUP('OPĆI DIO'!$C$3,'OPĆI DIO'!$L$6:$U$138,9,FALSE))</f>
        <v>Sveučilišta i veleučilišta u Republici Hrvatskoj</v>
      </c>
      <c r="C58" s="90">
        <v>43</v>
      </c>
      <c r="D58" s="85" t="str">
        <f t="shared" si="1"/>
        <v>Ostali prihodi za posebne namjene</v>
      </c>
      <c r="E58" s="289">
        <v>3237</v>
      </c>
      <c r="F58" s="85" t="str">
        <f t="shared" si="2"/>
        <v>Intelektualne i osobne usluge</v>
      </c>
      <c r="G58" s="123" t="s">
        <v>145</v>
      </c>
      <c r="H58" s="85" t="str">
        <f t="shared" si="3"/>
        <v>REDOVNA DJELATNOST SVEUČILIŠTA U ZAGREBU (IZ EVIDENCIJSKIH PRIHODA)</v>
      </c>
      <c r="I58" s="85" t="str">
        <f t="shared" si="4"/>
        <v>0942</v>
      </c>
      <c r="J58" s="290">
        <v>92906</v>
      </c>
      <c r="K58" s="290">
        <v>95789</v>
      </c>
      <c r="L58" s="290">
        <v>98755</v>
      </c>
      <c r="M58" s="89"/>
      <c r="O58" t="str">
        <f t="shared" si="5"/>
        <v>323</v>
      </c>
      <c r="P58" t="str">
        <f t="shared" si="6"/>
        <v>32</v>
      </c>
      <c r="Q58" t="str">
        <f t="shared" si="7"/>
        <v>43</v>
      </c>
      <c r="R58" t="str">
        <f t="shared" si="8"/>
        <v>94</v>
      </c>
      <c r="V58">
        <v>3681</v>
      </c>
      <c r="W58" t="s">
        <v>26</v>
      </c>
      <c r="Y58" s="251" t="str">
        <f t="shared" si="11"/>
        <v>36</v>
      </c>
      <c r="Z58" t="str">
        <f t="shared" si="12"/>
        <v>368</v>
      </c>
      <c r="AB58" t="s">
        <v>1862</v>
      </c>
      <c r="AC58" t="s">
        <v>1863</v>
      </c>
      <c r="AD58" t="s">
        <v>5169</v>
      </c>
      <c r="AE58" t="s">
        <v>5170</v>
      </c>
      <c r="AF58" t="s">
        <v>5177</v>
      </c>
      <c r="AG58" t="s">
        <v>5190</v>
      </c>
    </row>
    <row r="59" spans="1:33">
      <c r="A59" s="85" t="str">
        <f>IF(C59="","",VLOOKUP('OPĆI DIO'!$C$3,'OPĆI DIO'!$L$6:$U$138,10,FALSE))</f>
        <v>08006</v>
      </c>
      <c r="B59" s="85" t="str">
        <f>IF(C59="","",VLOOKUP('OPĆI DIO'!$C$3,'OPĆI DIO'!$L$6:$U$138,9,FALSE))</f>
        <v>Sveučilišta i veleučilišta u Republici Hrvatskoj</v>
      </c>
      <c r="C59" s="90">
        <v>43</v>
      </c>
      <c r="D59" s="85" t="str">
        <f t="shared" si="1"/>
        <v>Ostali prihodi za posebne namjene</v>
      </c>
      <c r="E59" s="289">
        <v>3238</v>
      </c>
      <c r="F59" s="85" t="str">
        <f t="shared" si="2"/>
        <v>Računalne usluge</v>
      </c>
      <c r="G59" s="123" t="s">
        <v>145</v>
      </c>
      <c r="H59" s="85" t="str">
        <f t="shared" si="3"/>
        <v>REDOVNA DJELATNOST SVEUČILIŠTA U ZAGREBU (IZ EVIDENCIJSKIH PRIHODA)</v>
      </c>
      <c r="I59" s="85" t="str">
        <f t="shared" si="4"/>
        <v>0942</v>
      </c>
      <c r="J59" s="290">
        <v>9423</v>
      </c>
      <c r="K59" s="290">
        <v>9715</v>
      </c>
      <c r="L59" s="290">
        <v>10017</v>
      </c>
      <c r="M59" s="89"/>
      <c r="O59" t="str">
        <f t="shared" si="5"/>
        <v>323</v>
      </c>
      <c r="P59" t="str">
        <f t="shared" si="6"/>
        <v>32</v>
      </c>
      <c r="Q59" t="str">
        <f t="shared" si="7"/>
        <v>43</v>
      </c>
      <c r="R59" t="str">
        <f t="shared" si="8"/>
        <v>94</v>
      </c>
      <c r="V59">
        <v>3682</v>
      </c>
      <c r="W59" t="s">
        <v>27</v>
      </c>
      <c r="Y59" s="251" t="str">
        <f t="shared" si="11"/>
        <v>36</v>
      </c>
      <c r="Z59" t="str">
        <f t="shared" si="12"/>
        <v>368</v>
      </c>
      <c r="AB59" t="s">
        <v>1864</v>
      </c>
      <c r="AC59" t="s">
        <v>1865</v>
      </c>
      <c r="AD59" t="s">
        <v>5169</v>
      </c>
      <c r="AE59" t="s">
        <v>5170</v>
      </c>
      <c r="AF59" t="s">
        <v>5177</v>
      </c>
      <c r="AG59" t="s">
        <v>5190</v>
      </c>
    </row>
    <row r="60" spans="1:33">
      <c r="A60" s="85" t="str">
        <f>IF(C60="","",VLOOKUP('OPĆI DIO'!$C$3,'OPĆI DIO'!$L$6:$U$138,10,FALSE))</f>
        <v>08006</v>
      </c>
      <c r="B60" s="85" t="str">
        <f>IF(C60="","",VLOOKUP('OPĆI DIO'!$C$3,'OPĆI DIO'!$L$6:$U$138,9,FALSE))</f>
        <v>Sveučilišta i veleučilišta u Republici Hrvatskoj</v>
      </c>
      <c r="C60" s="90">
        <v>43</v>
      </c>
      <c r="D60" s="85" t="str">
        <f t="shared" si="1"/>
        <v>Ostali prihodi za posebne namjene</v>
      </c>
      <c r="E60" s="289">
        <v>3239</v>
      </c>
      <c r="F60" s="85" t="str">
        <f t="shared" si="2"/>
        <v>Ostale usluge</v>
      </c>
      <c r="G60" s="123" t="s">
        <v>145</v>
      </c>
      <c r="H60" s="85" t="str">
        <f t="shared" si="3"/>
        <v>REDOVNA DJELATNOST SVEUČILIŠTA U ZAGREBU (IZ EVIDENCIJSKIH PRIHODA)</v>
      </c>
      <c r="I60" s="85" t="str">
        <f t="shared" si="4"/>
        <v>0942</v>
      </c>
      <c r="J60" s="290">
        <v>36366</v>
      </c>
      <c r="K60" s="290">
        <v>37493</v>
      </c>
      <c r="L60" s="290">
        <v>38656</v>
      </c>
      <c r="M60" s="89"/>
      <c r="O60" t="str">
        <f t="shared" si="5"/>
        <v>323</v>
      </c>
      <c r="P60" t="str">
        <f t="shared" si="6"/>
        <v>32</v>
      </c>
      <c r="Q60" t="str">
        <f t="shared" si="7"/>
        <v>43</v>
      </c>
      <c r="R60" t="str">
        <f t="shared" si="8"/>
        <v>94</v>
      </c>
      <c r="V60">
        <v>3691</v>
      </c>
      <c r="W60" t="s">
        <v>104</v>
      </c>
      <c r="Y60" s="251" t="str">
        <f t="shared" si="11"/>
        <v>36</v>
      </c>
      <c r="Z60" t="str">
        <f t="shared" si="12"/>
        <v>369</v>
      </c>
      <c r="AB60" t="s">
        <v>1866</v>
      </c>
      <c r="AC60" t="s">
        <v>1867</v>
      </c>
      <c r="AD60" t="s">
        <v>5169</v>
      </c>
      <c r="AE60" t="s">
        <v>5170</v>
      </c>
      <c r="AF60" t="s">
        <v>5177</v>
      </c>
      <c r="AG60" t="s">
        <v>5190</v>
      </c>
    </row>
    <row r="61" spans="1:33">
      <c r="A61" s="85" t="str">
        <f>IF(C61="","",VLOOKUP('OPĆI DIO'!$C$3,'OPĆI DIO'!$L$6:$U$138,10,FALSE))</f>
        <v>08006</v>
      </c>
      <c r="B61" s="85" t="str">
        <f>IF(C61="","",VLOOKUP('OPĆI DIO'!$C$3,'OPĆI DIO'!$L$6:$U$138,9,FALSE))</f>
        <v>Sveučilišta i veleučilišta u Republici Hrvatskoj</v>
      </c>
      <c r="C61" s="90">
        <v>43</v>
      </c>
      <c r="D61" s="85" t="str">
        <f t="shared" si="1"/>
        <v>Ostali prihodi za posebne namjene</v>
      </c>
      <c r="E61" s="289">
        <v>3241</v>
      </c>
      <c r="F61" s="85" t="str">
        <f t="shared" si="2"/>
        <v>Naknade troškova osobama izvan radnog odnosa</v>
      </c>
      <c r="G61" s="123" t="s">
        <v>145</v>
      </c>
      <c r="H61" s="85" t="str">
        <f t="shared" si="3"/>
        <v>REDOVNA DJELATNOST SVEUČILIŠTA U ZAGREBU (IZ EVIDENCIJSKIH PRIHODA)</v>
      </c>
      <c r="I61" s="85" t="str">
        <f t="shared" si="4"/>
        <v>0942</v>
      </c>
      <c r="J61" s="290">
        <v>10440</v>
      </c>
      <c r="K61" s="290">
        <v>10764</v>
      </c>
      <c r="L61" s="290">
        <v>11097</v>
      </c>
      <c r="M61" s="89"/>
      <c r="O61" t="str">
        <f t="shared" si="5"/>
        <v>324</v>
      </c>
      <c r="P61" t="str">
        <f t="shared" si="6"/>
        <v>32</v>
      </c>
      <c r="Q61" t="str">
        <f t="shared" si="7"/>
        <v>43</v>
      </c>
      <c r="R61" t="str">
        <f t="shared" si="8"/>
        <v>94</v>
      </c>
      <c r="V61">
        <v>3692</v>
      </c>
      <c r="W61" t="s">
        <v>176</v>
      </c>
      <c r="Y61" s="251" t="str">
        <f t="shared" si="11"/>
        <v>36</v>
      </c>
      <c r="Z61" t="str">
        <f t="shared" si="12"/>
        <v>369</v>
      </c>
      <c r="AB61" t="s">
        <v>1868</v>
      </c>
      <c r="AC61" t="s">
        <v>1869</v>
      </c>
      <c r="AD61" t="s">
        <v>5169</v>
      </c>
      <c r="AE61" t="s">
        <v>5170</v>
      </c>
      <c r="AF61" t="s">
        <v>5177</v>
      </c>
      <c r="AG61" t="s">
        <v>5190</v>
      </c>
    </row>
    <row r="62" spans="1:33">
      <c r="A62" s="85" t="str">
        <f>IF(C62="","",VLOOKUP('OPĆI DIO'!$C$3,'OPĆI DIO'!$L$6:$U$138,10,FALSE))</f>
        <v>08006</v>
      </c>
      <c r="B62" s="85" t="str">
        <f>IF(C62="","",VLOOKUP('OPĆI DIO'!$C$3,'OPĆI DIO'!$L$6:$U$138,9,FALSE))</f>
        <v>Sveučilišta i veleučilišta u Republici Hrvatskoj</v>
      </c>
      <c r="C62" s="90">
        <v>43</v>
      </c>
      <c r="D62" s="85" t="str">
        <f t="shared" si="1"/>
        <v>Ostali prihodi za posebne namjene</v>
      </c>
      <c r="E62" s="289">
        <v>3292</v>
      </c>
      <c r="F62" s="85" t="str">
        <f t="shared" si="2"/>
        <v>Premije osiguranja</v>
      </c>
      <c r="G62" s="123" t="s">
        <v>145</v>
      </c>
      <c r="H62" s="85" t="str">
        <f t="shared" si="3"/>
        <v>REDOVNA DJELATNOST SVEUČILIŠTA U ZAGREBU (IZ EVIDENCIJSKIH PRIHODA)</v>
      </c>
      <c r="I62" s="85" t="str">
        <f t="shared" si="4"/>
        <v>0942</v>
      </c>
      <c r="J62" s="290">
        <v>5309</v>
      </c>
      <c r="K62" s="290">
        <v>5473</v>
      </c>
      <c r="L62" s="290">
        <v>5643</v>
      </c>
      <c r="M62" s="89"/>
      <c r="O62" t="str">
        <f t="shared" si="5"/>
        <v>329</v>
      </c>
      <c r="P62" t="str">
        <f t="shared" si="6"/>
        <v>32</v>
      </c>
      <c r="Q62" t="str">
        <f t="shared" si="7"/>
        <v>43</v>
      </c>
      <c r="R62" t="str">
        <f t="shared" si="8"/>
        <v>94</v>
      </c>
      <c r="V62">
        <v>3693</v>
      </c>
      <c r="W62" t="s">
        <v>104</v>
      </c>
      <c r="Y62" s="251" t="str">
        <f t="shared" si="11"/>
        <v>36</v>
      </c>
      <c r="Z62" t="str">
        <f t="shared" si="12"/>
        <v>369</v>
      </c>
      <c r="AB62" t="s">
        <v>1870</v>
      </c>
      <c r="AC62" t="s">
        <v>1871</v>
      </c>
      <c r="AD62" t="s">
        <v>5159</v>
      </c>
      <c r="AE62" t="s">
        <v>5160</v>
      </c>
      <c r="AF62" t="s">
        <v>5177</v>
      </c>
      <c r="AG62" t="s">
        <v>5185</v>
      </c>
    </row>
    <row r="63" spans="1:33">
      <c r="A63" s="85" t="str">
        <f>IF(C63="","",VLOOKUP('OPĆI DIO'!$C$3,'OPĆI DIO'!$L$6:$U$138,10,FALSE))</f>
        <v>08006</v>
      </c>
      <c r="B63" s="85" t="str">
        <f>IF(C63="","",VLOOKUP('OPĆI DIO'!$C$3,'OPĆI DIO'!$L$6:$U$138,9,FALSE))</f>
        <v>Sveučilišta i veleučilišta u Republici Hrvatskoj</v>
      </c>
      <c r="C63" s="90">
        <v>43</v>
      </c>
      <c r="D63" s="85" t="str">
        <f t="shared" si="1"/>
        <v>Ostali prihodi za posebne namjene</v>
      </c>
      <c r="E63" s="289">
        <v>3293</v>
      </c>
      <c r="F63" s="85" t="str">
        <f t="shared" si="2"/>
        <v>Reprezentacija</v>
      </c>
      <c r="G63" s="123" t="s">
        <v>145</v>
      </c>
      <c r="H63" s="85" t="str">
        <f t="shared" si="3"/>
        <v>REDOVNA DJELATNOST SVEUČILIŠTA U ZAGREBU (IZ EVIDENCIJSKIH PRIHODA)</v>
      </c>
      <c r="I63" s="85" t="str">
        <f t="shared" si="4"/>
        <v>0942</v>
      </c>
      <c r="J63" s="290">
        <v>16535</v>
      </c>
      <c r="K63" s="290">
        <v>17047</v>
      </c>
      <c r="L63" s="290">
        <v>17576</v>
      </c>
      <c r="M63" s="89"/>
      <c r="O63" t="str">
        <f t="shared" si="5"/>
        <v>329</v>
      </c>
      <c r="P63" t="str">
        <f t="shared" si="6"/>
        <v>32</v>
      </c>
      <c r="Q63" t="str">
        <f t="shared" si="7"/>
        <v>43</v>
      </c>
      <c r="R63" t="str">
        <f t="shared" si="8"/>
        <v>94</v>
      </c>
      <c r="V63">
        <v>3694</v>
      </c>
      <c r="W63" t="s">
        <v>176</v>
      </c>
      <c r="Y63" s="251" t="str">
        <f t="shared" si="11"/>
        <v>36</v>
      </c>
      <c r="Z63" t="str">
        <f t="shared" si="12"/>
        <v>369</v>
      </c>
      <c r="AB63" t="s">
        <v>1872</v>
      </c>
      <c r="AC63" t="s">
        <v>1873</v>
      </c>
      <c r="AD63" t="s">
        <v>5159</v>
      </c>
      <c r="AE63" t="s">
        <v>5160</v>
      </c>
      <c r="AF63" t="s">
        <v>5177</v>
      </c>
      <c r="AG63" t="s">
        <v>5185</v>
      </c>
    </row>
    <row r="64" spans="1:33">
      <c r="A64" s="85" t="str">
        <f>IF(C64="","",VLOOKUP('OPĆI DIO'!$C$3,'OPĆI DIO'!$L$6:$U$138,10,FALSE))</f>
        <v>08006</v>
      </c>
      <c r="B64" s="85" t="str">
        <f>IF(C64="","",VLOOKUP('OPĆI DIO'!$C$3,'OPĆI DIO'!$L$6:$U$138,9,FALSE))</f>
        <v>Sveučilišta i veleučilišta u Republici Hrvatskoj</v>
      </c>
      <c r="C64" s="90">
        <v>43</v>
      </c>
      <c r="D64" s="85" t="str">
        <f t="shared" si="1"/>
        <v>Ostali prihodi za posebne namjene</v>
      </c>
      <c r="E64" s="289">
        <v>3295</v>
      </c>
      <c r="F64" s="85" t="str">
        <f t="shared" si="2"/>
        <v>Pristojbe i naknade</v>
      </c>
      <c r="G64" s="123" t="s">
        <v>145</v>
      </c>
      <c r="H64" s="85" t="str">
        <f t="shared" si="3"/>
        <v>REDOVNA DJELATNOST SVEUČILIŠTA U ZAGREBU (IZ EVIDENCIJSKIH PRIHODA)</v>
      </c>
      <c r="I64" s="85" t="str">
        <f t="shared" si="4"/>
        <v>0942</v>
      </c>
      <c r="J64" s="290">
        <v>2654</v>
      </c>
      <c r="K64" s="290">
        <v>2737</v>
      </c>
      <c r="L64" s="290">
        <v>2822</v>
      </c>
      <c r="M64" s="89"/>
      <c r="O64" t="str">
        <f t="shared" si="5"/>
        <v>329</v>
      </c>
      <c r="P64" t="str">
        <f t="shared" si="6"/>
        <v>32</v>
      </c>
      <c r="Q64" t="str">
        <f t="shared" si="7"/>
        <v>43</v>
      </c>
      <c r="R64" t="str">
        <f t="shared" si="8"/>
        <v>94</v>
      </c>
      <c r="V64">
        <v>3711</v>
      </c>
      <c r="W64" t="s">
        <v>123</v>
      </c>
      <c r="Y64" s="251" t="str">
        <f t="shared" si="11"/>
        <v>37</v>
      </c>
      <c r="Z64" t="str">
        <f t="shared" si="12"/>
        <v>371</v>
      </c>
      <c r="AB64" t="s">
        <v>1874</v>
      </c>
      <c r="AC64" t="s">
        <v>1875</v>
      </c>
      <c r="AD64" t="s">
        <v>5159</v>
      </c>
      <c r="AE64" t="s">
        <v>5160</v>
      </c>
      <c r="AF64" t="s">
        <v>5177</v>
      </c>
      <c r="AG64" t="s">
        <v>5185</v>
      </c>
    </row>
    <row r="65" spans="1:33">
      <c r="A65" s="85" t="str">
        <f>IF(C65="","",VLOOKUP('OPĆI DIO'!$C$3,'OPĆI DIO'!$L$6:$U$138,10,FALSE))</f>
        <v>08006</v>
      </c>
      <c r="B65" s="85" t="str">
        <f>IF(C65="","",VLOOKUP('OPĆI DIO'!$C$3,'OPĆI DIO'!$L$6:$U$138,9,FALSE))</f>
        <v>Sveučilišta i veleučilišta u Republici Hrvatskoj</v>
      </c>
      <c r="C65" s="90">
        <v>43</v>
      </c>
      <c r="D65" s="85" t="str">
        <f t="shared" si="1"/>
        <v>Ostali prihodi za posebne namjene</v>
      </c>
      <c r="E65" s="289">
        <v>3299</v>
      </c>
      <c r="F65" s="85" t="str">
        <f t="shared" si="2"/>
        <v>Ostali nespomenuti rashodi poslovanja</v>
      </c>
      <c r="G65" s="123" t="s">
        <v>145</v>
      </c>
      <c r="H65" s="85" t="str">
        <f t="shared" si="3"/>
        <v>REDOVNA DJELATNOST SVEUČILIŠTA U ZAGREBU (IZ EVIDENCIJSKIH PRIHODA)</v>
      </c>
      <c r="I65" s="85" t="str">
        <f t="shared" si="4"/>
        <v>0942</v>
      </c>
      <c r="J65" s="290">
        <v>11058</v>
      </c>
      <c r="K65" s="290">
        <v>11401</v>
      </c>
      <c r="L65" s="290">
        <v>11755</v>
      </c>
      <c r="M65" s="89"/>
      <c r="O65" t="str">
        <f t="shared" si="5"/>
        <v>329</v>
      </c>
      <c r="P65" t="str">
        <f t="shared" si="6"/>
        <v>32</v>
      </c>
      <c r="Q65" t="str">
        <f t="shared" si="7"/>
        <v>43</v>
      </c>
      <c r="R65" t="str">
        <f t="shared" si="8"/>
        <v>94</v>
      </c>
      <c r="V65">
        <v>3712</v>
      </c>
      <c r="W65" t="s">
        <v>141</v>
      </c>
      <c r="Y65" s="251" t="str">
        <f t="shared" si="11"/>
        <v>37</v>
      </c>
      <c r="Z65" t="str">
        <f t="shared" si="12"/>
        <v>371</v>
      </c>
      <c r="AB65" t="s">
        <v>1876</v>
      </c>
      <c r="AC65" t="s">
        <v>1877</v>
      </c>
      <c r="AD65" t="s">
        <v>5169</v>
      </c>
      <c r="AE65" t="s">
        <v>5170</v>
      </c>
      <c r="AF65" t="s">
        <v>5177</v>
      </c>
      <c r="AG65" t="s">
        <v>5190</v>
      </c>
    </row>
    <row r="66" spans="1:33">
      <c r="A66" s="85" t="str">
        <f>IF(C66="","",VLOOKUP('OPĆI DIO'!$C$3,'OPĆI DIO'!$L$6:$U$138,10,FALSE))</f>
        <v>08006</v>
      </c>
      <c r="B66" s="85" t="str">
        <f>IF(C66="","",VLOOKUP('OPĆI DIO'!$C$3,'OPĆI DIO'!$L$6:$U$138,9,FALSE))</f>
        <v>Sveučilišta i veleučilišta u Republici Hrvatskoj</v>
      </c>
      <c r="C66" s="90">
        <v>43</v>
      </c>
      <c r="D66" s="85" t="str">
        <f t="shared" si="1"/>
        <v>Ostali prihodi za posebne namjene</v>
      </c>
      <c r="E66" s="289">
        <v>3431</v>
      </c>
      <c r="F66" s="85" t="str">
        <f t="shared" si="2"/>
        <v>Bankarske usluge i usluge platnog prometa</v>
      </c>
      <c r="G66" s="123" t="s">
        <v>145</v>
      </c>
      <c r="H66" s="85" t="str">
        <f t="shared" si="3"/>
        <v>REDOVNA DJELATNOST SVEUČILIŠTA U ZAGREBU (IZ EVIDENCIJSKIH PRIHODA)</v>
      </c>
      <c r="I66" s="85" t="str">
        <f t="shared" si="4"/>
        <v>0942</v>
      </c>
      <c r="J66" s="290">
        <v>2124</v>
      </c>
      <c r="K66" s="290">
        <v>2189</v>
      </c>
      <c r="L66" s="290">
        <v>2257</v>
      </c>
      <c r="M66" s="89"/>
      <c r="O66" t="str">
        <f t="shared" si="5"/>
        <v>343</v>
      </c>
      <c r="P66" t="str">
        <f t="shared" si="6"/>
        <v>34</v>
      </c>
      <c r="Q66" t="str">
        <f t="shared" si="7"/>
        <v>43</v>
      </c>
      <c r="R66" t="str">
        <f t="shared" si="8"/>
        <v>94</v>
      </c>
      <c r="V66">
        <v>3713</v>
      </c>
      <c r="W66" t="s">
        <v>168</v>
      </c>
      <c r="Y66" s="251" t="str">
        <f t="shared" si="11"/>
        <v>37</v>
      </c>
      <c r="Z66" t="str">
        <f t="shared" si="12"/>
        <v>371</v>
      </c>
      <c r="AB66" t="s">
        <v>1879</v>
      </c>
      <c r="AC66" t="s">
        <v>1880</v>
      </c>
      <c r="AD66" t="s">
        <v>5159</v>
      </c>
      <c r="AE66" t="s">
        <v>5160</v>
      </c>
      <c r="AF66" t="s">
        <v>5177</v>
      </c>
      <c r="AG66" t="s">
        <v>5185</v>
      </c>
    </row>
    <row r="67" spans="1:33">
      <c r="A67" s="85" t="str">
        <f>IF(C67="","",VLOOKUP('OPĆI DIO'!$C$3,'OPĆI DIO'!$L$6:$U$138,10,FALSE))</f>
        <v>08006</v>
      </c>
      <c r="B67" s="85" t="str">
        <f>IF(C67="","",VLOOKUP('OPĆI DIO'!$C$3,'OPĆI DIO'!$L$6:$U$138,9,FALSE))</f>
        <v>Sveučilišta i veleučilišta u Republici Hrvatskoj</v>
      </c>
      <c r="C67" s="90">
        <v>43</v>
      </c>
      <c r="D67" s="85" t="str">
        <f t="shared" ref="D67:D130" si="13">IFERROR(VLOOKUP(C67,$S$6:$T$24,2,FALSE),"")</f>
        <v>Ostali prihodi za posebne namjene</v>
      </c>
      <c r="E67" s="289">
        <v>3432</v>
      </c>
      <c r="F67" s="85" t="str">
        <f t="shared" si="2"/>
        <v>Negativne tečajne razlike i razlike zbog primjene valutne kl</v>
      </c>
      <c r="G67" s="123" t="s">
        <v>145</v>
      </c>
      <c r="H67" s="85" t="str">
        <f t="shared" si="3"/>
        <v>REDOVNA DJELATNOST SVEUČILIŠTA U ZAGREBU (IZ EVIDENCIJSKIH PRIHODA)</v>
      </c>
      <c r="I67" s="85" t="str">
        <f t="shared" si="4"/>
        <v>0942</v>
      </c>
      <c r="J67" s="290">
        <v>53</v>
      </c>
      <c r="K67" s="290">
        <v>55</v>
      </c>
      <c r="L67" s="290">
        <v>56</v>
      </c>
      <c r="M67" s="89"/>
      <c r="O67" t="str">
        <f t="shared" si="5"/>
        <v>343</v>
      </c>
      <c r="P67" t="str">
        <f t="shared" si="6"/>
        <v>34</v>
      </c>
      <c r="Q67" t="str">
        <f t="shared" si="7"/>
        <v>43</v>
      </c>
      <c r="R67" t="str">
        <f t="shared" si="8"/>
        <v>94</v>
      </c>
      <c r="V67">
        <v>3714</v>
      </c>
      <c r="W67" t="s">
        <v>189</v>
      </c>
      <c r="Y67" s="251" t="str">
        <f t="shared" si="11"/>
        <v>37</v>
      </c>
      <c r="Z67" t="str">
        <f t="shared" si="12"/>
        <v>371</v>
      </c>
      <c r="AB67" t="s">
        <v>1881</v>
      </c>
      <c r="AC67" t="s">
        <v>1882</v>
      </c>
      <c r="AD67" t="s">
        <v>5153</v>
      </c>
      <c r="AE67" t="s">
        <v>5154</v>
      </c>
      <c r="AF67" t="s">
        <v>5179</v>
      </c>
      <c r="AG67" t="s">
        <v>5180</v>
      </c>
    </row>
    <row r="68" spans="1:33">
      <c r="A68" s="85" t="str">
        <f>IF(C68="","",VLOOKUP('OPĆI DIO'!$C$3,'OPĆI DIO'!$L$6:$U$138,10,FALSE))</f>
        <v>08006</v>
      </c>
      <c r="B68" s="85" t="str">
        <f>IF(C68="","",VLOOKUP('OPĆI DIO'!$C$3,'OPĆI DIO'!$L$6:$U$138,9,FALSE))</f>
        <v>Sveučilišta i veleučilišta u Republici Hrvatskoj</v>
      </c>
      <c r="C68" s="90">
        <v>43</v>
      </c>
      <c r="D68" s="85" t="str">
        <f t="shared" si="13"/>
        <v>Ostali prihodi za posebne namjene</v>
      </c>
      <c r="E68" s="289">
        <v>3433</v>
      </c>
      <c r="F68" s="85" t="str">
        <f t="shared" ref="F68:F131" si="14">IFERROR(VLOOKUP(E68,$V$5:$X$129,2,FALSE),"")</f>
        <v>Zatezne kamate</v>
      </c>
      <c r="G68" s="123" t="s">
        <v>145</v>
      </c>
      <c r="H68" s="85" t="str">
        <f t="shared" ref="H68:H131" si="15">IFERROR(VLOOKUP(G68,$AB$6:$AC$327,2,FALSE),"")</f>
        <v>REDOVNA DJELATNOST SVEUČILIŠTA U ZAGREBU (IZ EVIDENCIJSKIH PRIHODA)</v>
      </c>
      <c r="I68" s="85" t="str">
        <f t="shared" ref="I68:I131" si="16">IFERROR(VLOOKUP(G68,$AB$6:$AF$327,3,FALSE),"")</f>
        <v>0942</v>
      </c>
      <c r="J68" s="290">
        <v>6636</v>
      </c>
      <c r="K68" s="290">
        <v>6842</v>
      </c>
      <c r="L68" s="290">
        <v>7054</v>
      </c>
      <c r="M68" s="89"/>
      <c r="O68" t="str">
        <f t="shared" ref="O68:O131" si="17">LEFT(E68,3)</f>
        <v>343</v>
      </c>
      <c r="P68" t="str">
        <f t="shared" ref="P68:P131" si="18">LEFT(E68,2)</f>
        <v>34</v>
      </c>
      <c r="Q68" t="str">
        <f t="shared" ref="Q68:Q131" si="19">LEFT(C68,3)</f>
        <v>43</v>
      </c>
      <c r="R68" t="str">
        <f t="shared" ref="R68:R131" si="20">MID(I68,2,2)</f>
        <v>94</v>
      </c>
      <c r="V68">
        <v>3715</v>
      </c>
      <c r="W68" t="s">
        <v>127</v>
      </c>
      <c r="Y68" s="251" t="str">
        <f t="shared" si="11"/>
        <v>37</v>
      </c>
      <c r="Z68" t="str">
        <f t="shared" si="12"/>
        <v>371</v>
      </c>
      <c r="AB68" t="s">
        <v>1883</v>
      </c>
      <c r="AC68" t="s">
        <v>1884</v>
      </c>
      <c r="AD68" t="s">
        <v>5153</v>
      </c>
      <c r="AE68" t="s">
        <v>5154</v>
      </c>
      <c r="AF68" t="s">
        <v>5179</v>
      </c>
      <c r="AG68" t="s">
        <v>5180</v>
      </c>
    </row>
    <row r="69" spans="1:33">
      <c r="A69" s="85" t="str">
        <f>IF(C69="","",VLOOKUP('OPĆI DIO'!$C$3,'OPĆI DIO'!$L$6:$U$138,10,FALSE))</f>
        <v>08006</v>
      </c>
      <c r="B69" s="85" t="str">
        <f>IF(C69="","",VLOOKUP('OPĆI DIO'!$C$3,'OPĆI DIO'!$L$6:$U$138,9,FALSE))</f>
        <v>Sveučilišta i veleučilišta u Republici Hrvatskoj</v>
      </c>
      <c r="C69" s="90">
        <v>43</v>
      </c>
      <c r="D69" s="85" t="str">
        <f t="shared" si="13"/>
        <v>Ostali prihodi za posebne namjene</v>
      </c>
      <c r="E69" s="289">
        <v>3434</v>
      </c>
      <c r="F69" s="85" t="str">
        <f t="shared" si="14"/>
        <v>Ostali nespomenuti financijski rashodi</v>
      </c>
      <c r="G69" s="123" t="s">
        <v>145</v>
      </c>
      <c r="H69" s="85" t="str">
        <f t="shared" si="15"/>
        <v>REDOVNA DJELATNOST SVEUČILIŠTA U ZAGREBU (IZ EVIDENCIJSKIH PRIHODA)</v>
      </c>
      <c r="I69" s="85" t="str">
        <f t="shared" si="16"/>
        <v>0942</v>
      </c>
      <c r="J69" s="290">
        <v>4592</v>
      </c>
      <c r="K69" s="290">
        <v>4735</v>
      </c>
      <c r="L69" s="290">
        <v>4881</v>
      </c>
      <c r="M69" s="89"/>
      <c r="O69" t="str">
        <f t="shared" si="17"/>
        <v>343</v>
      </c>
      <c r="P69" t="str">
        <f t="shared" si="18"/>
        <v>34</v>
      </c>
      <c r="Q69" t="str">
        <f t="shared" si="19"/>
        <v>43</v>
      </c>
      <c r="R69" t="str">
        <f t="shared" si="20"/>
        <v>94</v>
      </c>
      <c r="V69">
        <v>3721</v>
      </c>
      <c r="W69" t="s">
        <v>65</v>
      </c>
      <c r="Y69" s="251" t="str">
        <f t="shared" si="11"/>
        <v>37</v>
      </c>
      <c r="Z69" t="str">
        <f t="shared" si="12"/>
        <v>372</v>
      </c>
      <c r="AB69" t="s">
        <v>1885</v>
      </c>
      <c r="AC69" t="s">
        <v>1886</v>
      </c>
      <c r="AD69" t="s">
        <v>5153</v>
      </c>
      <c r="AE69" t="s">
        <v>5154</v>
      </c>
      <c r="AF69" t="s">
        <v>5179</v>
      </c>
      <c r="AG69" t="s">
        <v>5180</v>
      </c>
    </row>
    <row r="70" spans="1:33">
      <c r="A70" s="85" t="str">
        <f>IF(C70="","",VLOOKUP('OPĆI DIO'!$C$3,'OPĆI DIO'!$L$6:$U$138,10,FALSE))</f>
        <v>08006</v>
      </c>
      <c r="B70" s="85" t="str">
        <f>IF(C70="","",VLOOKUP('OPĆI DIO'!$C$3,'OPĆI DIO'!$L$6:$U$138,9,FALSE))</f>
        <v>Sveučilišta i veleučilišta u Republici Hrvatskoj</v>
      </c>
      <c r="C70" s="90">
        <v>43</v>
      </c>
      <c r="D70" s="85" t="str">
        <f t="shared" si="13"/>
        <v>Ostali prihodi za posebne namjene</v>
      </c>
      <c r="E70" s="289">
        <v>3721</v>
      </c>
      <c r="F70" s="85" t="str">
        <f t="shared" si="14"/>
        <v>Naknade građanima i kućanstvima u novcu</v>
      </c>
      <c r="G70" s="123" t="s">
        <v>145</v>
      </c>
      <c r="H70" s="85" t="str">
        <f t="shared" si="15"/>
        <v>REDOVNA DJELATNOST SVEUČILIŠTA U ZAGREBU (IZ EVIDENCIJSKIH PRIHODA)</v>
      </c>
      <c r="I70" s="85" t="str">
        <f t="shared" si="16"/>
        <v>0942</v>
      </c>
      <c r="J70" s="290">
        <v>7292</v>
      </c>
      <c r="K70" s="290">
        <v>7518</v>
      </c>
      <c r="L70" s="290">
        <v>7751</v>
      </c>
      <c r="M70" s="89"/>
      <c r="O70" t="str">
        <f t="shared" si="17"/>
        <v>372</v>
      </c>
      <c r="P70" t="str">
        <f t="shared" si="18"/>
        <v>37</v>
      </c>
      <c r="Q70" t="str">
        <f t="shared" si="19"/>
        <v>43</v>
      </c>
      <c r="R70" t="str">
        <f t="shared" si="20"/>
        <v>94</v>
      </c>
      <c r="V70">
        <v>3722</v>
      </c>
      <c r="W70" t="s">
        <v>150</v>
      </c>
      <c r="Y70" s="251" t="str">
        <f t="shared" si="11"/>
        <v>37</v>
      </c>
      <c r="Z70" t="str">
        <f t="shared" si="12"/>
        <v>372</v>
      </c>
      <c r="AB70" t="s">
        <v>1887</v>
      </c>
      <c r="AC70" t="s">
        <v>1888</v>
      </c>
      <c r="AD70" t="s">
        <v>5153</v>
      </c>
      <c r="AE70" t="s">
        <v>5154</v>
      </c>
      <c r="AF70" t="s">
        <v>5179</v>
      </c>
      <c r="AG70" t="s">
        <v>5180</v>
      </c>
    </row>
    <row r="71" spans="1:33">
      <c r="A71" s="85" t="str">
        <f>IF(C71="","",VLOOKUP('OPĆI DIO'!$C$3,'OPĆI DIO'!$L$6:$U$138,10,FALSE))</f>
        <v>08006</v>
      </c>
      <c r="B71" s="85" t="str">
        <f>IF(C71="","",VLOOKUP('OPĆI DIO'!$C$3,'OPĆI DIO'!$L$6:$U$138,9,FALSE))</f>
        <v>Sveučilišta i veleučilišta u Republici Hrvatskoj</v>
      </c>
      <c r="C71" s="90">
        <v>43</v>
      </c>
      <c r="D71" s="85" t="str">
        <f t="shared" si="13"/>
        <v>Ostali prihodi za posebne namjene</v>
      </c>
      <c r="E71" s="289">
        <v>4221</v>
      </c>
      <c r="F71" s="85" t="str">
        <f t="shared" si="14"/>
        <v>Uredska oprema i namještaj</v>
      </c>
      <c r="G71" s="123" t="s">
        <v>145</v>
      </c>
      <c r="H71" s="85" t="str">
        <f t="shared" si="15"/>
        <v>REDOVNA DJELATNOST SVEUČILIŠTA U ZAGREBU (IZ EVIDENCIJSKIH PRIHODA)</v>
      </c>
      <c r="I71" s="85" t="str">
        <f t="shared" si="16"/>
        <v>0942</v>
      </c>
      <c r="J71" s="290">
        <v>18581</v>
      </c>
      <c r="K71" s="290">
        <v>19157</v>
      </c>
      <c r="L71" s="290">
        <v>19751</v>
      </c>
      <c r="M71" s="89"/>
      <c r="O71" t="str">
        <f t="shared" si="17"/>
        <v>422</v>
      </c>
      <c r="P71" t="str">
        <f t="shared" si="18"/>
        <v>42</v>
      </c>
      <c r="Q71" t="str">
        <f t="shared" si="19"/>
        <v>43</v>
      </c>
      <c r="R71" t="str">
        <f t="shared" si="20"/>
        <v>94</v>
      </c>
      <c r="V71">
        <v>3723</v>
      </c>
      <c r="W71" t="s">
        <v>105</v>
      </c>
      <c r="Y71" s="251" t="str">
        <f t="shared" si="11"/>
        <v>37</v>
      </c>
      <c r="Z71" t="str">
        <f t="shared" si="12"/>
        <v>372</v>
      </c>
      <c r="AB71" t="s">
        <v>1889</v>
      </c>
      <c r="AC71" t="s">
        <v>1890</v>
      </c>
      <c r="AD71" t="s">
        <v>5153</v>
      </c>
      <c r="AE71" t="s">
        <v>5154</v>
      </c>
      <c r="AF71" t="s">
        <v>5179</v>
      </c>
      <c r="AG71" t="s">
        <v>5180</v>
      </c>
    </row>
    <row r="72" spans="1:33">
      <c r="A72" s="85" t="str">
        <f>IF(C72="","",VLOOKUP('OPĆI DIO'!$C$3,'OPĆI DIO'!$L$6:$U$138,10,FALSE))</f>
        <v>08006</v>
      </c>
      <c r="B72" s="85" t="str">
        <f>IF(C72="","",VLOOKUP('OPĆI DIO'!$C$3,'OPĆI DIO'!$L$6:$U$138,9,FALSE))</f>
        <v>Sveučilišta i veleučilišta u Republici Hrvatskoj</v>
      </c>
      <c r="C72" s="90">
        <v>43</v>
      </c>
      <c r="D72" s="85" t="str">
        <f t="shared" si="13"/>
        <v>Ostali prihodi za posebne namjene</v>
      </c>
      <c r="E72" s="289">
        <v>4222</v>
      </c>
      <c r="F72" s="85" t="str">
        <f t="shared" si="14"/>
        <v>Komunikacijska oprema</v>
      </c>
      <c r="G72" s="123" t="s">
        <v>145</v>
      </c>
      <c r="H72" s="85" t="str">
        <f t="shared" si="15"/>
        <v>REDOVNA DJELATNOST SVEUČILIŠTA U ZAGREBU (IZ EVIDENCIJSKIH PRIHODA)</v>
      </c>
      <c r="I72" s="85" t="str">
        <f t="shared" si="16"/>
        <v>0942</v>
      </c>
      <c r="J72" s="290">
        <v>3982</v>
      </c>
      <c r="K72" s="290">
        <v>4105</v>
      </c>
      <c r="L72" s="290">
        <v>4232</v>
      </c>
      <c r="M72" s="89"/>
      <c r="O72" t="str">
        <f t="shared" si="17"/>
        <v>422</v>
      </c>
      <c r="P72" t="str">
        <f t="shared" si="18"/>
        <v>42</v>
      </c>
      <c r="Q72" t="str">
        <f t="shared" si="19"/>
        <v>43</v>
      </c>
      <c r="R72" t="str">
        <f t="shared" si="20"/>
        <v>94</v>
      </c>
      <c r="V72">
        <v>3811</v>
      </c>
      <c r="W72" t="s">
        <v>55</v>
      </c>
      <c r="Y72" s="251" t="str">
        <f t="shared" si="11"/>
        <v>38</v>
      </c>
      <c r="Z72" t="str">
        <f t="shared" si="12"/>
        <v>381</v>
      </c>
      <c r="AB72" t="s">
        <v>1891</v>
      </c>
      <c r="AC72" t="s">
        <v>1892</v>
      </c>
      <c r="AD72" t="s">
        <v>5153</v>
      </c>
      <c r="AE72" t="s">
        <v>5154</v>
      </c>
      <c r="AF72" t="s">
        <v>5179</v>
      </c>
      <c r="AG72" t="s">
        <v>5180</v>
      </c>
    </row>
    <row r="73" spans="1:33">
      <c r="A73" s="85" t="str">
        <f>IF(C73="","",VLOOKUP('OPĆI DIO'!$C$3,'OPĆI DIO'!$L$6:$U$138,10,FALSE))</f>
        <v>08006</v>
      </c>
      <c r="B73" s="85" t="str">
        <f>IF(C73="","",VLOOKUP('OPĆI DIO'!$C$3,'OPĆI DIO'!$L$6:$U$138,9,FALSE))</f>
        <v>Sveučilišta i veleučilišta u Republici Hrvatskoj</v>
      </c>
      <c r="C73" s="90">
        <v>43</v>
      </c>
      <c r="D73" s="85" t="str">
        <f t="shared" si="13"/>
        <v>Ostali prihodi za posebne namjene</v>
      </c>
      <c r="E73" s="289">
        <v>4223</v>
      </c>
      <c r="F73" s="85" t="str">
        <f t="shared" si="14"/>
        <v>Oprema za održavanje i zaštitu</v>
      </c>
      <c r="G73" s="123" t="s">
        <v>145</v>
      </c>
      <c r="H73" s="85" t="str">
        <f t="shared" si="15"/>
        <v>REDOVNA DJELATNOST SVEUČILIŠTA U ZAGREBU (IZ EVIDENCIJSKIH PRIHODA)</v>
      </c>
      <c r="I73" s="85" t="str">
        <f t="shared" si="16"/>
        <v>0942</v>
      </c>
      <c r="J73" s="290">
        <v>3318</v>
      </c>
      <c r="K73" s="290">
        <v>3421</v>
      </c>
      <c r="L73" s="290">
        <v>3527</v>
      </c>
      <c r="M73" s="89"/>
      <c r="O73" t="str">
        <f t="shared" si="17"/>
        <v>422</v>
      </c>
      <c r="P73" t="str">
        <f t="shared" si="18"/>
        <v>42</v>
      </c>
      <c r="Q73" t="str">
        <f t="shared" si="19"/>
        <v>43</v>
      </c>
      <c r="R73" t="str">
        <f t="shared" si="20"/>
        <v>94</v>
      </c>
      <c r="V73">
        <v>3812</v>
      </c>
      <c r="W73" t="s">
        <v>151</v>
      </c>
      <c r="Y73" s="251" t="str">
        <f t="shared" si="11"/>
        <v>38</v>
      </c>
      <c r="Z73" t="str">
        <f t="shared" si="12"/>
        <v>381</v>
      </c>
      <c r="AB73" t="s">
        <v>958</v>
      </c>
      <c r="AC73" t="s">
        <v>959</v>
      </c>
      <c r="AD73" t="s">
        <v>5153</v>
      </c>
      <c r="AE73" t="s">
        <v>5154</v>
      </c>
      <c r="AF73" t="s">
        <v>5179</v>
      </c>
      <c r="AG73" t="s">
        <v>5180</v>
      </c>
    </row>
    <row r="74" spans="1:33">
      <c r="A74" s="85" t="str">
        <f>IF(C74="","",VLOOKUP('OPĆI DIO'!$C$3,'OPĆI DIO'!$L$6:$U$138,10,FALSE))</f>
        <v>08006</v>
      </c>
      <c r="B74" s="85" t="str">
        <f>IF(C74="","",VLOOKUP('OPĆI DIO'!$C$3,'OPĆI DIO'!$L$6:$U$138,9,FALSE))</f>
        <v>Sveučilišta i veleučilišta u Republici Hrvatskoj</v>
      </c>
      <c r="C74" s="90">
        <v>43</v>
      </c>
      <c r="D74" s="85" t="str">
        <f t="shared" si="13"/>
        <v>Ostali prihodi za posebne namjene</v>
      </c>
      <c r="E74" s="289">
        <v>4225</v>
      </c>
      <c r="F74" s="85" t="str">
        <f t="shared" si="14"/>
        <v>Instrumenti, uređaji i strojevi</v>
      </c>
      <c r="G74" s="123" t="s">
        <v>145</v>
      </c>
      <c r="H74" s="85" t="str">
        <f t="shared" si="15"/>
        <v>REDOVNA DJELATNOST SVEUČILIŠTA U ZAGREBU (IZ EVIDENCIJSKIH PRIHODA)</v>
      </c>
      <c r="I74" s="85" t="str">
        <f t="shared" si="16"/>
        <v>0942</v>
      </c>
      <c r="J74" s="290">
        <v>3982</v>
      </c>
      <c r="K74" s="290">
        <v>4105</v>
      </c>
      <c r="L74" s="290">
        <v>4232</v>
      </c>
      <c r="M74" s="89"/>
      <c r="O74" t="str">
        <f t="shared" si="17"/>
        <v>422</v>
      </c>
      <c r="P74" t="str">
        <f t="shared" si="18"/>
        <v>42</v>
      </c>
      <c r="Q74" t="str">
        <f t="shared" si="19"/>
        <v>43</v>
      </c>
      <c r="R74" t="str">
        <f t="shared" si="20"/>
        <v>94</v>
      </c>
      <c r="V74">
        <v>3813</v>
      </c>
      <c r="W74" t="s">
        <v>94</v>
      </c>
      <c r="Y74" s="251" t="str">
        <f t="shared" ref="Y74:Y80" si="21">LEFT(V74,2)</f>
        <v>38</v>
      </c>
      <c r="Z74" t="str">
        <f t="shared" ref="Z74:Z80" si="22">LEFT(V74,3)</f>
        <v>381</v>
      </c>
      <c r="AB74" t="s">
        <v>1893</v>
      </c>
      <c r="AC74" t="s">
        <v>1894</v>
      </c>
      <c r="AD74" t="s">
        <v>5155</v>
      </c>
      <c r="AE74" t="s">
        <v>5156</v>
      </c>
      <c r="AF74" t="s">
        <v>5177</v>
      </c>
      <c r="AG74" t="s">
        <v>5187</v>
      </c>
    </row>
    <row r="75" spans="1:33">
      <c r="A75" s="85" t="str">
        <f>IF(C75="","",VLOOKUP('OPĆI DIO'!$C$3,'OPĆI DIO'!$L$6:$U$138,10,FALSE))</f>
        <v>08006</v>
      </c>
      <c r="B75" s="85" t="str">
        <f>IF(C75="","",VLOOKUP('OPĆI DIO'!$C$3,'OPĆI DIO'!$L$6:$U$138,9,FALSE))</f>
        <v>Sveučilišta i veleučilišta u Republici Hrvatskoj</v>
      </c>
      <c r="C75" s="90">
        <v>43</v>
      </c>
      <c r="D75" s="85" t="str">
        <f t="shared" si="13"/>
        <v>Ostali prihodi za posebne namjene</v>
      </c>
      <c r="E75" s="289">
        <v>4226</v>
      </c>
      <c r="F75" s="85" t="str">
        <f t="shared" si="14"/>
        <v>Sportska i glazbena oprema</v>
      </c>
      <c r="G75" s="123" t="s">
        <v>145</v>
      </c>
      <c r="H75" s="85" t="str">
        <f t="shared" si="15"/>
        <v>REDOVNA DJELATNOST SVEUČILIŠTA U ZAGREBU (IZ EVIDENCIJSKIH PRIHODA)</v>
      </c>
      <c r="I75" s="85" t="str">
        <f t="shared" si="16"/>
        <v>0942</v>
      </c>
      <c r="J75" s="290">
        <v>5309</v>
      </c>
      <c r="K75" s="290">
        <v>5473</v>
      </c>
      <c r="L75" s="290">
        <v>5643</v>
      </c>
      <c r="M75" s="89"/>
      <c r="O75" t="str">
        <f t="shared" si="17"/>
        <v>422</v>
      </c>
      <c r="P75" t="str">
        <f t="shared" si="18"/>
        <v>42</v>
      </c>
      <c r="Q75" t="str">
        <f t="shared" si="19"/>
        <v>43</v>
      </c>
      <c r="R75" t="str">
        <f t="shared" si="20"/>
        <v>94</v>
      </c>
      <c r="V75">
        <v>3821</v>
      </c>
      <c r="W75" t="s">
        <v>169</v>
      </c>
      <c r="Y75" s="251" t="str">
        <f t="shared" si="21"/>
        <v>38</v>
      </c>
      <c r="Z75" t="str">
        <f t="shared" si="22"/>
        <v>382</v>
      </c>
      <c r="AB75" t="s">
        <v>3472</v>
      </c>
      <c r="AC75" t="s">
        <v>3473</v>
      </c>
      <c r="AD75" t="s">
        <v>5155</v>
      </c>
      <c r="AE75" t="s">
        <v>5156</v>
      </c>
      <c r="AF75" t="s">
        <v>5177</v>
      </c>
      <c r="AG75" t="s">
        <v>5187</v>
      </c>
    </row>
    <row r="76" spans="1:33">
      <c r="A76" s="85" t="str">
        <f>IF(C76="","",VLOOKUP('OPĆI DIO'!$C$3,'OPĆI DIO'!$L$6:$U$138,10,FALSE))</f>
        <v>08006</v>
      </c>
      <c r="B76" s="85" t="str">
        <f>IF(C76="","",VLOOKUP('OPĆI DIO'!$C$3,'OPĆI DIO'!$L$6:$U$138,9,FALSE))</f>
        <v>Sveučilišta i veleučilišta u Republici Hrvatskoj</v>
      </c>
      <c r="C76" s="90">
        <v>43</v>
      </c>
      <c r="D76" s="85" t="str">
        <f t="shared" si="13"/>
        <v>Ostali prihodi za posebne namjene</v>
      </c>
      <c r="E76" s="289">
        <v>4227</v>
      </c>
      <c r="F76" s="85" t="str">
        <f t="shared" si="14"/>
        <v>Uređaji, strojevi i oprema za ostale namjene</v>
      </c>
      <c r="G76" s="123" t="s">
        <v>145</v>
      </c>
      <c r="H76" s="85" t="str">
        <f t="shared" si="15"/>
        <v>REDOVNA DJELATNOST SVEUČILIŠTA U ZAGREBU (IZ EVIDENCIJSKIH PRIHODA)</v>
      </c>
      <c r="I76" s="85" t="str">
        <f t="shared" si="16"/>
        <v>0942</v>
      </c>
      <c r="J76" s="290">
        <v>5309</v>
      </c>
      <c r="K76" s="290">
        <v>5473</v>
      </c>
      <c r="L76" s="290">
        <v>5643</v>
      </c>
      <c r="M76" s="89"/>
      <c r="O76" t="str">
        <f t="shared" si="17"/>
        <v>422</v>
      </c>
      <c r="P76" t="str">
        <f t="shared" si="18"/>
        <v>42</v>
      </c>
      <c r="Q76" t="str">
        <f t="shared" si="19"/>
        <v>43</v>
      </c>
      <c r="R76" t="str">
        <f t="shared" si="20"/>
        <v>94</v>
      </c>
      <c r="V76">
        <v>3831</v>
      </c>
      <c r="W76" t="s">
        <v>152</v>
      </c>
      <c r="Y76" s="251" t="str">
        <f t="shared" si="21"/>
        <v>38</v>
      </c>
      <c r="Z76" t="str">
        <f t="shared" si="22"/>
        <v>383</v>
      </c>
      <c r="AB76" t="s">
        <v>1895</v>
      </c>
      <c r="AC76" t="s">
        <v>1896</v>
      </c>
      <c r="AD76" t="s">
        <v>5153</v>
      </c>
      <c r="AE76" t="s">
        <v>5154</v>
      </c>
      <c r="AF76" t="s">
        <v>5179</v>
      </c>
      <c r="AG76" t="s">
        <v>5180</v>
      </c>
    </row>
    <row r="77" spans="1:33">
      <c r="A77" s="85" t="str">
        <f>IF(C77="","",VLOOKUP('OPĆI DIO'!$C$3,'OPĆI DIO'!$L$6:$U$138,10,FALSE))</f>
        <v>08006</v>
      </c>
      <c r="B77" s="85" t="str">
        <f>IF(C77="","",VLOOKUP('OPĆI DIO'!$C$3,'OPĆI DIO'!$L$6:$U$138,9,FALSE))</f>
        <v>Sveučilišta i veleučilišta u Republici Hrvatskoj</v>
      </c>
      <c r="C77" s="90">
        <v>43</v>
      </c>
      <c r="D77" s="85" t="str">
        <f t="shared" si="13"/>
        <v>Ostali prihodi za posebne namjene</v>
      </c>
      <c r="E77" s="289">
        <v>4241</v>
      </c>
      <c r="F77" s="85" t="str">
        <f t="shared" si="14"/>
        <v>Knjige</v>
      </c>
      <c r="G77" s="123" t="s">
        <v>145</v>
      </c>
      <c r="H77" s="85" t="str">
        <f t="shared" si="15"/>
        <v>REDOVNA DJELATNOST SVEUČILIŠTA U ZAGREBU (IZ EVIDENCIJSKIH PRIHODA)</v>
      </c>
      <c r="I77" s="85" t="str">
        <f t="shared" si="16"/>
        <v>0942</v>
      </c>
      <c r="J77" s="290">
        <v>14600</v>
      </c>
      <c r="K77" s="290">
        <v>15052</v>
      </c>
      <c r="L77" s="290">
        <v>15519</v>
      </c>
      <c r="M77" s="89"/>
      <c r="O77" t="str">
        <f t="shared" si="17"/>
        <v>424</v>
      </c>
      <c r="P77" t="str">
        <f t="shared" si="18"/>
        <v>42</v>
      </c>
      <c r="Q77" t="str">
        <f t="shared" si="19"/>
        <v>43</v>
      </c>
      <c r="R77" t="str">
        <f t="shared" si="20"/>
        <v>94</v>
      </c>
      <c r="V77">
        <v>3832</v>
      </c>
      <c r="W77" t="s">
        <v>192</v>
      </c>
      <c r="Y77" s="251" t="str">
        <f t="shared" si="21"/>
        <v>38</v>
      </c>
      <c r="Z77" t="str">
        <f t="shared" si="22"/>
        <v>383</v>
      </c>
      <c r="AB77" t="s">
        <v>1897</v>
      </c>
      <c r="AC77" t="s">
        <v>1898</v>
      </c>
      <c r="AD77" t="s">
        <v>5155</v>
      </c>
      <c r="AE77" t="s">
        <v>5156</v>
      </c>
      <c r="AF77" t="s">
        <v>5177</v>
      </c>
      <c r="AG77" t="s">
        <v>5187</v>
      </c>
    </row>
    <row r="78" spans="1:33">
      <c r="A78" s="85" t="str">
        <f>IF(C78="","",VLOOKUP('OPĆI DIO'!$C$3,'OPĆI DIO'!$L$6:$U$138,10,FALSE))</f>
        <v>08006</v>
      </c>
      <c r="B78" s="85" t="str">
        <f>IF(C78="","",VLOOKUP('OPĆI DIO'!$C$3,'OPĆI DIO'!$L$6:$U$138,9,FALSE))</f>
        <v>Sveučilišta i veleučilišta u Republici Hrvatskoj</v>
      </c>
      <c r="C78" s="90">
        <v>43</v>
      </c>
      <c r="D78" s="85" t="str">
        <f t="shared" si="13"/>
        <v>Ostali prihodi za posebne namjene</v>
      </c>
      <c r="E78" s="289">
        <v>4262</v>
      </c>
      <c r="F78" s="85" t="str">
        <f t="shared" si="14"/>
        <v>Ulaganja u računalne programe</v>
      </c>
      <c r="G78" s="123" t="s">
        <v>145</v>
      </c>
      <c r="H78" s="85" t="str">
        <f t="shared" si="15"/>
        <v>REDOVNA DJELATNOST SVEUČILIŠTA U ZAGREBU (IZ EVIDENCIJSKIH PRIHODA)</v>
      </c>
      <c r="I78" s="85" t="str">
        <f t="shared" si="16"/>
        <v>0942</v>
      </c>
      <c r="J78" s="290">
        <v>5309</v>
      </c>
      <c r="K78" s="290">
        <v>5473</v>
      </c>
      <c r="L78" s="290">
        <v>5643</v>
      </c>
      <c r="M78" s="89"/>
      <c r="O78" t="str">
        <f t="shared" si="17"/>
        <v>426</v>
      </c>
      <c r="P78" t="str">
        <f t="shared" si="18"/>
        <v>42</v>
      </c>
      <c r="Q78" t="str">
        <f t="shared" si="19"/>
        <v>43</v>
      </c>
      <c r="R78" t="str">
        <f t="shared" si="20"/>
        <v>94</v>
      </c>
      <c r="V78">
        <v>3833</v>
      </c>
      <c r="W78" t="s">
        <v>153</v>
      </c>
      <c r="Y78" s="251" t="str">
        <f t="shared" si="21"/>
        <v>38</v>
      </c>
      <c r="Z78" t="str">
        <f t="shared" si="22"/>
        <v>383</v>
      </c>
      <c r="AB78" t="s">
        <v>1899</v>
      </c>
      <c r="AC78" t="s">
        <v>1900</v>
      </c>
      <c r="AD78" t="s">
        <v>5155</v>
      </c>
      <c r="AE78" t="s">
        <v>5156</v>
      </c>
      <c r="AF78" t="s">
        <v>5177</v>
      </c>
      <c r="AG78" t="s">
        <v>5187</v>
      </c>
    </row>
    <row r="79" spans="1:33">
      <c r="A79" s="85" t="str">
        <f>IF(C79="","",VLOOKUP('OPĆI DIO'!$C$3,'OPĆI DIO'!$L$6:$U$138,10,FALSE))</f>
        <v>08006</v>
      </c>
      <c r="B79" s="85" t="str">
        <f>IF(C79="","",VLOOKUP('OPĆI DIO'!$C$3,'OPĆI DIO'!$L$6:$U$138,9,FALSE))</f>
        <v>Sveučilišta i veleučilišta u Republici Hrvatskoj</v>
      </c>
      <c r="C79" s="90">
        <v>11</v>
      </c>
      <c r="D79" s="85" t="str">
        <f t="shared" si="13"/>
        <v>Opći prihodi i primici</v>
      </c>
      <c r="E79" s="90">
        <v>3111</v>
      </c>
      <c r="F79" s="85" t="str">
        <f t="shared" si="14"/>
        <v>Plaće za redovan rad</v>
      </c>
      <c r="G79" s="123" t="s">
        <v>48</v>
      </c>
      <c r="H79" s="85" t="str">
        <f t="shared" si="15"/>
        <v>REDOVNA DJELATNOST SVEUČILIŠTA U ZAGREBU</v>
      </c>
      <c r="I79" s="85" t="str">
        <f t="shared" si="16"/>
        <v>0942</v>
      </c>
      <c r="J79" s="122">
        <v>5198298</v>
      </c>
      <c r="K79" s="122">
        <v>5222629</v>
      </c>
      <c r="L79" s="122">
        <v>5247084</v>
      </c>
      <c r="M79" s="89"/>
      <c r="O79" t="str">
        <f t="shared" si="17"/>
        <v>311</v>
      </c>
      <c r="P79" t="str">
        <f t="shared" si="18"/>
        <v>31</v>
      </c>
      <c r="Q79" t="str">
        <f t="shared" si="19"/>
        <v>11</v>
      </c>
      <c r="R79" t="str">
        <f t="shared" si="20"/>
        <v>94</v>
      </c>
      <c r="V79">
        <v>3834</v>
      </c>
      <c r="W79" t="s">
        <v>154</v>
      </c>
      <c r="Y79" s="251" t="str">
        <f t="shared" si="21"/>
        <v>38</v>
      </c>
      <c r="Z79" t="str">
        <f t="shared" si="22"/>
        <v>383</v>
      </c>
      <c r="AB79" t="s">
        <v>1635</v>
      </c>
      <c r="AC79" t="s">
        <v>1636</v>
      </c>
      <c r="AD79" t="s">
        <v>5153</v>
      </c>
      <c r="AE79" t="s">
        <v>5154</v>
      </c>
      <c r="AF79" t="s">
        <v>5179</v>
      </c>
      <c r="AG79" t="s">
        <v>5180</v>
      </c>
    </row>
    <row r="80" spans="1:33">
      <c r="A80" s="85" t="str">
        <f>IF(C80="","",VLOOKUP('OPĆI DIO'!$C$3,'OPĆI DIO'!$L$6:$U$138,10,FALSE))</f>
        <v>08006</v>
      </c>
      <c r="B80" s="85" t="str">
        <f>IF(C80="","",VLOOKUP('OPĆI DIO'!$C$3,'OPĆI DIO'!$L$6:$U$138,9,FALSE))</f>
        <v>Sveučilišta i veleučilišta u Republici Hrvatskoj</v>
      </c>
      <c r="C80" s="90">
        <v>11</v>
      </c>
      <c r="D80" s="85" t="str">
        <f t="shared" si="13"/>
        <v>Opći prihodi i primici</v>
      </c>
      <c r="E80" s="90">
        <v>3121</v>
      </c>
      <c r="F80" s="85" t="str">
        <f t="shared" si="14"/>
        <v>Ostali rashodi za zaposlene</v>
      </c>
      <c r="G80" s="123" t="s">
        <v>48</v>
      </c>
      <c r="H80" s="85" t="str">
        <f t="shared" si="15"/>
        <v>REDOVNA DJELATNOST SVEUČILIŠTA U ZAGREBU</v>
      </c>
      <c r="I80" s="85" t="str">
        <f t="shared" si="16"/>
        <v>0942</v>
      </c>
      <c r="J80" s="122">
        <v>59923</v>
      </c>
      <c r="K80" s="122">
        <v>59923</v>
      </c>
      <c r="L80" s="122">
        <v>59923</v>
      </c>
      <c r="M80" s="89"/>
      <c r="O80" t="str">
        <f t="shared" si="17"/>
        <v>312</v>
      </c>
      <c r="P80" t="str">
        <f t="shared" si="18"/>
        <v>31</v>
      </c>
      <c r="Q80" t="str">
        <f t="shared" si="19"/>
        <v>11</v>
      </c>
      <c r="R80" t="str">
        <f t="shared" si="20"/>
        <v>94</v>
      </c>
      <c r="V80">
        <v>3835</v>
      </c>
      <c r="W80" t="s">
        <v>155</v>
      </c>
      <c r="Y80" s="251" t="str">
        <f t="shared" si="21"/>
        <v>38</v>
      </c>
      <c r="Z80" t="str">
        <f t="shared" si="22"/>
        <v>383</v>
      </c>
      <c r="AB80" t="s">
        <v>1901</v>
      </c>
      <c r="AC80" t="s">
        <v>1902</v>
      </c>
      <c r="AD80" t="s">
        <v>5155</v>
      </c>
      <c r="AE80" t="s">
        <v>5156</v>
      </c>
      <c r="AF80" t="s">
        <v>5177</v>
      </c>
      <c r="AG80" t="s">
        <v>5187</v>
      </c>
    </row>
    <row r="81" spans="1:33">
      <c r="A81" s="85" t="str">
        <f>IF(C81="","",VLOOKUP('OPĆI DIO'!$C$3,'OPĆI DIO'!$L$6:$U$138,10,FALSE))</f>
        <v>08006</v>
      </c>
      <c r="B81" s="85" t="str">
        <f>IF(C81="","",VLOOKUP('OPĆI DIO'!$C$3,'OPĆI DIO'!$L$6:$U$138,9,FALSE))</f>
        <v>Sveučilišta i veleučilišta u Republici Hrvatskoj</v>
      </c>
      <c r="C81" s="90">
        <v>11</v>
      </c>
      <c r="D81" s="85" t="str">
        <f t="shared" si="13"/>
        <v>Opći prihodi i primici</v>
      </c>
      <c r="E81" s="90">
        <v>3132</v>
      </c>
      <c r="F81" s="85" t="str">
        <f t="shared" si="14"/>
        <v>Doprinosi za obvezno zdravstveno osiguranje</v>
      </c>
      <c r="G81" s="123" t="s">
        <v>48</v>
      </c>
      <c r="H81" s="85" t="str">
        <f t="shared" si="15"/>
        <v>REDOVNA DJELATNOST SVEUČILIŠTA U ZAGREBU</v>
      </c>
      <c r="I81" s="85" t="str">
        <f t="shared" si="16"/>
        <v>0942</v>
      </c>
      <c r="J81" s="122">
        <v>876574</v>
      </c>
      <c r="K81" s="122">
        <v>881382</v>
      </c>
      <c r="L81" s="122">
        <v>886214</v>
      </c>
      <c r="M81" s="89"/>
      <c r="O81" t="str">
        <f t="shared" si="17"/>
        <v>313</v>
      </c>
      <c r="P81" t="str">
        <f t="shared" si="18"/>
        <v>31</v>
      </c>
      <c r="Q81" t="str">
        <f t="shared" si="19"/>
        <v>11</v>
      </c>
      <c r="R81" t="str">
        <f t="shared" si="20"/>
        <v>94</v>
      </c>
      <c r="V81">
        <v>3861</v>
      </c>
      <c r="W81" t="s">
        <v>661</v>
      </c>
      <c r="Y81" s="251" t="str">
        <f>LEFT(V81,2)</f>
        <v>38</v>
      </c>
      <c r="Z81" t="str">
        <f>LEFT(V81,3)</f>
        <v>386</v>
      </c>
      <c r="AB81" t="s">
        <v>1903</v>
      </c>
      <c r="AC81" t="s">
        <v>1904</v>
      </c>
      <c r="AD81" t="s">
        <v>5159</v>
      </c>
      <c r="AE81" t="s">
        <v>5160</v>
      </c>
      <c r="AF81" t="s">
        <v>5177</v>
      </c>
      <c r="AG81" t="s">
        <v>5185</v>
      </c>
    </row>
    <row r="82" spans="1:33">
      <c r="A82" s="85" t="str">
        <f>IF(C82="","",VLOOKUP('OPĆI DIO'!$C$3,'OPĆI DIO'!$L$6:$U$138,10,FALSE))</f>
        <v>08006</v>
      </c>
      <c r="B82" s="85" t="str">
        <f>IF(C82="","",VLOOKUP('OPĆI DIO'!$C$3,'OPĆI DIO'!$L$6:$U$138,9,FALSE))</f>
        <v>Sveučilišta i veleučilišta u Republici Hrvatskoj</v>
      </c>
      <c r="C82" s="90">
        <v>11</v>
      </c>
      <c r="D82" s="85" t="str">
        <f t="shared" si="13"/>
        <v>Opći prihodi i primici</v>
      </c>
      <c r="E82" s="90">
        <v>3212</v>
      </c>
      <c r="F82" s="85" t="str">
        <f t="shared" si="14"/>
        <v>Naknade za prijevoz, za rad na terenu i odvojeni život</v>
      </c>
      <c r="G82" s="123" t="s">
        <v>48</v>
      </c>
      <c r="H82" s="85" t="str">
        <f t="shared" si="15"/>
        <v>REDOVNA DJELATNOST SVEUČILIŠTA U ZAGREBU</v>
      </c>
      <c r="I82" s="85" t="str">
        <f t="shared" si="16"/>
        <v>0942</v>
      </c>
      <c r="J82" s="122">
        <v>113478</v>
      </c>
      <c r="K82" s="122">
        <v>113478</v>
      </c>
      <c r="L82" s="122">
        <v>113478</v>
      </c>
      <c r="M82" s="89"/>
      <c r="O82" t="str">
        <f t="shared" si="17"/>
        <v>321</v>
      </c>
      <c r="P82" t="str">
        <f t="shared" si="18"/>
        <v>32</v>
      </c>
      <c r="Q82" t="str">
        <f t="shared" si="19"/>
        <v>11</v>
      </c>
      <c r="R82" t="str">
        <f t="shared" si="20"/>
        <v>94</v>
      </c>
      <c r="V82">
        <v>3862</v>
      </c>
      <c r="W82" t="s">
        <v>662</v>
      </c>
      <c r="Y82" s="251" t="str">
        <f>LEFT(V82,2)</f>
        <v>38</v>
      </c>
      <c r="Z82" t="str">
        <f>LEFT(V82,3)</f>
        <v>386</v>
      </c>
      <c r="AB82" t="s">
        <v>1905</v>
      </c>
      <c r="AC82" t="s">
        <v>1906</v>
      </c>
      <c r="AD82" t="s">
        <v>5159</v>
      </c>
      <c r="AE82" t="s">
        <v>5160</v>
      </c>
      <c r="AF82" t="s">
        <v>5177</v>
      </c>
      <c r="AG82" t="s">
        <v>5185</v>
      </c>
    </row>
    <row r="83" spans="1:33">
      <c r="A83" s="85" t="str">
        <f>IF(C83="","",VLOOKUP('OPĆI DIO'!$C$3,'OPĆI DIO'!$L$6:$U$138,10,FALSE))</f>
        <v>08006</v>
      </c>
      <c r="B83" s="85" t="str">
        <f>IF(C83="","",VLOOKUP('OPĆI DIO'!$C$3,'OPĆI DIO'!$L$6:$U$138,9,FALSE))</f>
        <v>Sveučilišta i veleučilišta u Republici Hrvatskoj</v>
      </c>
      <c r="C83" s="90">
        <v>11</v>
      </c>
      <c r="D83" s="85" t="str">
        <f t="shared" si="13"/>
        <v>Opći prihodi i primici</v>
      </c>
      <c r="E83" s="90">
        <v>3236</v>
      </c>
      <c r="F83" s="85" t="str">
        <f t="shared" si="14"/>
        <v>Zdravstvene i veterinarske usluge</v>
      </c>
      <c r="G83" s="123" t="s">
        <v>48</v>
      </c>
      <c r="H83" s="85" t="str">
        <f t="shared" si="15"/>
        <v>REDOVNA DJELATNOST SVEUČILIŠTA U ZAGREBU</v>
      </c>
      <c r="I83" s="85" t="str">
        <f t="shared" si="16"/>
        <v>0942</v>
      </c>
      <c r="J83" s="122">
        <v>7122</v>
      </c>
      <c r="K83" s="122">
        <v>7122</v>
      </c>
      <c r="L83" s="122">
        <v>7122</v>
      </c>
      <c r="M83" s="89"/>
      <c r="O83" t="str">
        <f t="shared" si="17"/>
        <v>323</v>
      </c>
      <c r="P83" t="str">
        <f t="shared" si="18"/>
        <v>32</v>
      </c>
      <c r="Q83" t="str">
        <f t="shared" si="19"/>
        <v>11</v>
      </c>
      <c r="R83" t="str">
        <f t="shared" si="20"/>
        <v>94</v>
      </c>
      <c r="V83">
        <v>3863</v>
      </c>
      <c r="W83" t="s">
        <v>663</v>
      </c>
      <c r="Y83" s="251" t="str">
        <f>LEFT(V83,2)</f>
        <v>38</v>
      </c>
      <c r="Z83" t="str">
        <f>LEFT(V83,3)</f>
        <v>386</v>
      </c>
      <c r="AB83" t="s">
        <v>1907</v>
      </c>
      <c r="AC83" t="s">
        <v>1908</v>
      </c>
      <c r="AD83" t="s">
        <v>5159</v>
      </c>
      <c r="AE83" t="s">
        <v>5160</v>
      </c>
      <c r="AF83" t="s">
        <v>5177</v>
      </c>
      <c r="AG83" t="s">
        <v>5185</v>
      </c>
    </row>
    <row r="84" spans="1:33">
      <c r="A84" s="85" t="str">
        <f>IF(C84="","",VLOOKUP('OPĆI DIO'!$C$3,'OPĆI DIO'!$L$6:$U$138,10,FALSE))</f>
        <v>08006</v>
      </c>
      <c r="B84" s="85" t="str">
        <f>IF(C84="","",VLOOKUP('OPĆI DIO'!$C$3,'OPĆI DIO'!$L$6:$U$138,9,FALSE))</f>
        <v>Sveučilišta i veleučilišta u Republici Hrvatskoj</v>
      </c>
      <c r="C84" s="90">
        <v>11</v>
      </c>
      <c r="D84" s="85" t="str">
        <f t="shared" si="13"/>
        <v>Opći prihodi i primici</v>
      </c>
      <c r="E84" s="90">
        <v>3295</v>
      </c>
      <c r="F84" s="85" t="str">
        <f t="shared" si="14"/>
        <v>Pristojbe i naknade</v>
      </c>
      <c r="G84" s="123" t="s">
        <v>48</v>
      </c>
      <c r="H84" s="85" t="str">
        <f t="shared" si="15"/>
        <v>REDOVNA DJELATNOST SVEUČILIŠTA U ZAGREBU</v>
      </c>
      <c r="I84" s="85" t="str">
        <f t="shared" si="16"/>
        <v>0942</v>
      </c>
      <c r="J84" s="122">
        <v>2039</v>
      </c>
      <c r="K84" s="122">
        <v>2039</v>
      </c>
      <c r="L84" s="122">
        <v>2039</v>
      </c>
      <c r="M84" s="89"/>
      <c r="O84" t="str">
        <f t="shared" si="17"/>
        <v>329</v>
      </c>
      <c r="P84" t="str">
        <f t="shared" si="18"/>
        <v>32</v>
      </c>
      <c r="Q84" t="str">
        <f t="shared" si="19"/>
        <v>11</v>
      </c>
      <c r="R84" t="str">
        <f t="shared" si="20"/>
        <v>94</v>
      </c>
      <c r="V84">
        <v>4111</v>
      </c>
      <c r="W84" t="s">
        <v>156</v>
      </c>
      <c r="Y84" s="251" t="str">
        <f t="shared" ref="Y84:Y101" si="23">LEFT(V84,2)</f>
        <v>41</v>
      </c>
      <c r="Z84" t="str">
        <f t="shared" ref="Z84:Z118" si="24">LEFT(V84,3)</f>
        <v>411</v>
      </c>
      <c r="AB84" t="s">
        <v>1909</v>
      </c>
      <c r="AC84" t="s">
        <v>1910</v>
      </c>
      <c r="AD84" t="s">
        <v>5159</v>
      </c>
      <c r="AE84" t="s">
        <v>5160</v>
      </c>
      <c r="AF84" t="s">
        <v>5177</v>
      </c>
      <c r="AG84" t="s">
        <v>5185</v>
      </c>
    </row>
    <row r="85" spans="1:33">
      <c r="A85" s="85" t="str">
        <f>IF(C85="","",VLOOKUP('OPĆI DIO'!$C$3,'OPĆI DIO'!$L$6:$U$138,10,FALSE))</f>
        <v>08006</v>
      </c>
      <c r="B85" s="85" t="str">
        <f>IF(C85="","",VLOOKUP('OPĆI DIO'!$C$3,'OPĆI DIO'!$L$6:$U$138,9,FALSE))</f>
        <v>Sveučilišta i veleučilišta u Republici Hrvatskoj</v>
      </c>
      <c r="C85" s="90">
        <v>11</v>
      </c>
      <c r="D85" s="85" t="str">
        <f t="shared" si="13"/>
        <v>Opći prihodi i primici</v>
      </c>
      <c r="E85" s="90">
        <v>3237</v>
      </c>
      <c r="F85" s="85" t="str">
        <f t="shared" si="14"/>
        <v>Intelektualne i osobne usluge</v>
      </c>
      <c r="G85" s="123" t="s">
        <v>675</v>
      </c>
      <c r="H85" s="85" t="str">
        <f t="shared" si="15"/>
        <v>PROGRAMI VJEŽBAONICA VISOKIH UČILIŠTA</v>
      </c>
      <c r="I85" s="85" t="str">
        <f t="shared" si="16"/>
        <v>0942</v>
      </c>
      <c r="J85" s="122">
        <v>113825</v>
      </c>
      <c r="K85" s="122">
        <v>113825</v>
      </c>
      <c r="L85" s="122">
        <v>113825</v>
      </c>
      <c r="M85" s="89"/>
      <c r="O85" t="str">
        <f t="shared" si="17"/>
        <v>323</v>
      </c>
      <c r="P85" t="str">
        <f t="shared" si="18"/>
        <v>32</v>
      </c>
      <c r="Q85" t="str">
        <f t="shared" si="19"/>
        <v>11</v>
      </c>
      <c r="R85" t="str">
        <f t="shared" si="20"/>
        <v>94</v>
      </c>
      <c r="V85">
        <v>4113</v>
      </c>
      <c r="W85" t="s">
        <v>190</v>
      </c>
      <c r="Y85" s="251" t="str">
        <f t="shared" si="23"/>
        <v>41</v>
      </c>
      <c r="Z85" t="str">
        <f t="shared" si="24"/>
        <v>411</v>
      </c>
      <c r="AB85" t="s">
        <v>1911</v>
      </c>
      <c r="AC85" t="s">
        <v>1912</v>
      </c>
      <c r="AD85" t="s">
        <v>5159</v>
      </c>
      <c r="AE85" t="s">
        <v>5160</v>
      </c>
      <c r="AF85" t="s">
        <v>5177</v>
      </c>
      <c r="AG85" t="s">
        <v>5185</v>
      </c>
    </row>
    <row r="86" spans="1:33">
      <c r="A86" s="85" t="str">
        <f>IF(C86="","",VLOOKUP('OPĆI DIO'!$C$3,'OPĆI DIO'!$L$6:$U$138,10,FALSE))</f>
        <v>08006</v>
      </c>
      <c r="B86" s="85" t="str">
        <f>IF(C86="","",VLOOKUP('OPĆI DIO'!$C$3,'OPĆI DIO'!$L$6:$U$138,9,FALSE))</f>
        <v>Sveučilišta i veleučilišta u Republici Hrvatskoj</v>
      </c>
      <c r="C86" s="90">
        <v>11</v>
      </c>
      <c r="D86" s="85" t="str">
        <f t="shared" si="13"/>
        <v>Opći prihodi i primici</v>
      </c>
      <c r="E86" s="90">
        <v>3111</v>
      </c>
      <c r="F86" s="85" t="str">
        <f t="shared" si="14"/>
        <v>Plaće za redovan rad</v>
      </c>
      <c r="G86" s="123" t="s">
        <v>673</v>
      </c>
      <c r="H86" s="85" t="str">
        <f t="shared" si="15"/>
        <v>PROGRAMSKO FINANCIRANJE JAVNIH VISOKIH UČILIŠTA</v>
      </c>
      <c r="I86" s="85" t="str">
        <f t="shared" si="16"/>
        <v>0942</v>
      </c>
      <c r="J86" s="122">
        <v>10957</v>
      </c>
      <c r="K86" s="122">
        <v>10957</v>
      </c>
      <c r="L86" s="122">
        <v>10957</v>
      </c>
      <c r="M86" s="89"/>
      <c r="O86" t="str">
        <f t="shared" si="17"/>
        <v>311</v>
      </c>
      <c r="P86" t="str">
        <f t="shared" si="18"/>
        <v>31</v>
      </c>
      <c r="Q86" t="str">
        <f t="shared" si="19"/>
        <v>11</v>
      </c>
      <c r="R86" t="str">
        <f t="shared" si="20"/>
        <v>94</v>
      </c>
      <c r="V86">
        <v>4122</v>
      </c>
      <c r="W86" t="s">
        <v>157</v>
      </c>
      <c r="Y86" s="251" t="str">
        <f t="shared" si="23"/>
        <v>41</v>
      </c>
      <c r="Z86" t="str">
        <f t="shared" si="24"/>
        <v>412</v>
      </c>
      <c r="AB86" t="s">
        <v>1925</v>
      </c>
      <c r="AC86" t="s">
        <v>1926</v>
      </c>
      <c r="AD86" t="s">
        <v>5155</v>
      </c>
      <c r="AE86" t="s">
        <v>5156</v>
      </c>
      <c r="AF86" t="s">
        <v>5177</v>
      </c>
      <c r="AG86" t="s">
        <v>5187</v>
      </c>
    </row>
    <row r="87" spans="1:33">
      <c r="A87" s="85" t="str">
        <f>IF(C87="","",VLOOKUP('OPĆI DIO'!$C$3,'OPĆI DIO'!$L$6:$U$138,10,FALSE))</f>
        <v>08006</v>
      </c>
      <c r="B87" s="85" t="str">
        <f>IF(C87="","",VLOOKUP('OPĆI DIO'!$C$3,'OPĆI DIO'!$L$6:$U$138,9,FALSE))</f>
        <v>Sveučilišta i veleučilišta u Republici Hrvatskoj</v>
      </c>
      <c r="C87" s="90">
        <v>11</v>
      </c>
      <c r="D87" s="85" t="str">
        <f t="shared" si="13"/>
        <v>Opći prihodi i primici</v>
      </c>
      <c r="E87" s="90">
        <v>3132</v>
      </c>
      <c r="F87" s="85" t="str">
        <f t="shared" si="14"/>
        <v>Doprinosi za obvezno zdravstveno osiguranje</v>
      </c>
      <c r="G87" s="123" t="s">
        <v>673</v>
      </c>
      <c r="H87" s="85" t="str">
        <f t="shared" si="15"/>
        <v>PROGRAMSKO FINANCIRANJE JAVNIH VISOKIH UČILIŠTA</v>
      </c>
      <c r="I87" s="85" t="str">
        <f t="shared" si="16"/>
        <v>0942</v>
      </c>
      <c r="J87" s="122">
        <v>1808</v>
      </c>
      <c r="K87" s="122">
        <v>1808</v>
      </c>
      <c r="L87" s="122">
        <v>1808</v>
      </c>
      <c r="M87" s="89"/>
      <c r="O87" t="str">
        <f t="shared" si="17"/>
        <v>313</v>
      </c>
      <c r="P87" t="str">
        <f t="shared" si="18"/>
        <v>31</v>
      </c>
      <c r="Q87" t="str">
        <f t="shared" si="19"/>
        <v>11</v>
      </c>
      <c r="R87" t="str">
        <f t="shared" si="20"/>
        <v>94</v>
      </c>
      <c r="V87">
        <v>4123</v>
      </c>
      <c r="W87" t="s">
        <v>128</v>
      </c>
      <c r="Y87" s="251" t="str">
        <f t="shared" si="23"/>
        <v>41</v>
      </c>
      <c r="Z87" t="str">
        <f t="shared" si="24"/>
        <v>412</v>
      </c>
      <c r="AB87" t="s">
        <v>1637</v>
      </c>
      <c r="AC87" t="s">
        <v>1638</v>
      </c>
      <c r="AD87" t="s">
        <v>5153</v>
      </c>
      <c r="AE87" t="s">
        <v>5154</v>
      </c>
      <c r="AF87" t="s">
        <v>5179</v>
      </c>
      <c r="AG87" t="s">
        <v>5180</v>
      </c>
    </row>
    <row r="88" spans="1:33">
      <c r="A88" s="85" t="str">
        <f>IF(C88="","",VLOOKUP('OPĆI DIO'!$C$3,'OPĆI DIO'!$L$6:$U$138,10,FALSE))</f>
        <v>08006</v>
      </c>
      <c r="B88" s="85" t="str">
        <f>IF(C88="","",VLOOKUP('OPĆI DIO'!$C$3,'OPĆI DIO'!$L$6:$U$138,9,FALSE))</f>
        <v>Sveučilišta i veleučilišta u Republici Hrvatskoj</v>
      </c>
      <c r="C88" s="90">
        <v>11</v>
      </c>
      <c r="D88" s="85" t="str">
        <f t="shared" si="13"/>
        <v>Opći prihodi i primici</v>
      </c>
      <c r="E88" s="90">
        <v>3211</v>
      </c>
      <c r="F88" s="85" t="str">
        <f t="shared" si="14"/>
        <v>Službena putovanja</v>
      </c>
      <c r="G88" s="123" t="s">
        <v>673</v>
      </c>
      <c r="H88" s="85" t="str">
        <f t="shared" si="15"/>
        <v>PROGRAMSKO FINANCIRANJE JAVNIH VISOKIH UČILIŠTA</v>
      </c>
      <c r="I88" s="85" t="str">
        <f t="shared" si="16"/>
        <v>0942</v>
      </c>
      <c r="J88" s="122">
        <v>58923</v>
      </c>
      <c r="K88" s="122">
        <v>60750</v>
      </c>
      <c r="L88" s="122">
        <v>60750</v>
      </c>
      <c r="M88" s="89"/>
      <c r="O88" t="str">
        <f t="shared" si="17"/>
        <v>321</v>
      </c>
      <c r="P88" t="str">
        <f t="shared" si="18"/>
        <v>32</v>
      </c>
      <c r="Q88" t="str">
        <f t="shared" si="19"/>
        <v>11</v>
      </c>
      <c r="R88" t="str">
        <f t="shared" si="20"/>
        <v>94</v>
      </c>
      <c r="V88">
        <v>4124</v>
      </c>
      <c r="W88" t="s">
        <v>114</v>
      </c>
      <c r="Y88" s="251" t="str">
        <f t="shared" si="23"/>
        <v>41</v>
      </c>
      <c r="Z88" t="str">
        <f t="shared" si="24"/>
        <v>412</v>
      </c>
      <c r="AB88" t="s">
        <v>1637</v>
      </c>
      <c r="AC88" t="s">
        <v>1638</v>
      </c>
      <c r="AD88" t="s">
        <v>5155</v>
      </c>
      <c r="AE88" t="s">
        <v>5156</v>
      </c>
      <c r="AF88" t="s">
        <v>5177</v>
      </c>
      <c r="AG88" t="s">
        <v>5187</v>
      </c>
    </row>
    <row r="89" spans="1:33">
      <c r="A89" s="85" t="str">
        <f>IF(C89="","",VLOOKUP('OPĆI DIO'!$C$3,'OPĆI DIO'!$L$6:$U$138,10,FALSE))</f>
        <v>08006</v>
      </c>
      <c r="B89" s="85" t="str">
        <f>IF(C89="","",VLOOKUP('OPĆI DIO'!$C$3,'OPĆI DIO'!$L$6:$U$138,9,FALSE))</f>
        <v>Sveučilišta i veleučilišta u Republici Hrvatskoj</v>
      </c>
      <c r="C89" s="90">
        <v>11</v>
      </c>
      <c r="D89" s="85" t="str">
        <f t="shared" si="13"/>
        <v>Opći prihodi i primici</v>
      </c>
      <c r="E89" s="90">
        <v>3213</v>
      </c>
      <c r="F89" s="85" t="str">
        <f t="shared" si="14"/>
        <v>Stručno usavršavanje zaposlenika</v>
      </c>
      <c r="G89" s="123" t="s">
        <v>673</v>
      </c>
      <c r="H89" s="85" t="str">
        <f t="shared" si="15"/>
        <v>PROGRAMSKO FINANCIRANJE JAVNIH VISOKIH UČILIŠTA</v>
      </c>
      <c r="I89" s="85" t="str">
        <f t="shared" si="16"/>
        <v>0942</v>
      </c>
      <c r="J89" s="122">
        <v>12019</v>
      </c>
      <c r="K89" s="122">
        <v>12392</v>
      </c>
      <c r="L89" s="122">
        <v>12392</v>
      </c>
      <c r="M89" s="89"/>
      <c r="O89" t="str">
        <f t="shared" si="17"/>
        <v>321</v>
      </c>
      <c r="P89" t="str">
        <f t="shared" si="18"/>
        <v>32</v>
      </c>
      <c r="Q89" t="str">
        <f t="shared" si="19"/>
        <v>11</v>
      </c>
      <c r="R89" t="str">
        <f t="shared" si="20"/>
        <v>94</v>
      </c>
      <c r="V89">
        <v>4126</v>
      </c>
      <c r="W89" t="s">
        <v>158</v>
      </c>
      <c r="Y89" s="251" t="str">
        <f t="shared" si="23"/>
        <v>41</v>
      </c>
      <c r="Z89" t="str">
        <f t="shared" si="24"/>
        <v>412</v>
      </c>
      <c r="AB89" t="s">
        <v>951</v>
      </c>
      <c r="AC89" t="s">
        <v>952</v>
      </c>
      <c r="AD89" t="s">
        <v>5155</v>
      </c>
      <c r="AE89" t="s">
        <v>5156</v>
      </c>
      <c r="AF89" t="s">
        <v>5177</v>
      </c>
      <c r="AG89" t="s">
        <v>5187</v>
      </c>
    </row>
    <row r="90" spans="1:33">
      <c r="A90" s="85" t="str">
        <f>IF(C90="","",VLOOKUP('OPĆI DIO'!$C$3,'OPĆI DIO'!$L$6:$U$138,10,FALSE))</f>
        <v>08006</v>
      </c>
      <c r="B90" s="85" t="str">
        <f>IF(C90="","",VLOOKUP('OPĆI DIO'!$C$3,'OPĆI DIO'!$L$6:$U$138,9,FALSE))</f>
        <v>Sveučilišta i veleučilišta u Republici Hrvatskoj</v>
      </c>
      <c r="C90" s="90">
        <v>11</v>
      </c>
      <c r="D90" s="85" t="str">
        <f t="shared" si="13"/>
        <v>Opći prihodi i primici</v>
      </c>
      <c r="E90" s="90">
        <v>3214</v>
      </c>
      <c r="F90" s="85" t="str">
        <f t="shared" si="14"/>
        <v>Ostale naknade troškova zaposlenima</v>
      </c>
      <c r="G90" s="123" t="s">
        <v>673</v>
      </c>
      <c r="H90" s="85" t="str">
        <f t="shared" si="15"/>
        <v>PROGRAMSKO FINANCIRANJE JAVNIH VISOKIH UČILIŠTA</v>
      </c>
      <c r="I90" s="85" t="str">
        <f t="shared" si="16"/>
        <v>0942</v>
      </c>
      <c r="J90" s="122">
        <v>16128</v>
      </c>
      <c r="K90" s="122">
        <v>16628</v>
      </c>
      <c r="L90" s="122">
        <v>16628</v>
      </c>
      <c r="M90" s="89"/>
      <c r="O90" t="str">
        <f t="shared" si="17"/>
        <v>321</v>
      </c>
      <c r="P90" t="str">
        <f t="shared" si="18"/>
        <v>32</v>
      </c>
      <c r="Q90" t="str">
        <f t="shared" si="19"/>
        <v>11</v>
      </c>
      <c r="R90" t="str">
        <f t="shared" si="20"/>
        <v>94</v>
      </c>
      <c r="V90">
        <v>4211</v>
      </c>
      <c r="W90" t="s">
        <v>172</v>
      </c>
      <c r="Y90" s="251" t="str">
        <f t="shared" si="23"/>
        <v>42</v>
      </c>
      <c r="Z90" t="str">
        <f t="shared" si="24"/>
        <v>421</v>
      </c>
      <c r="AB90" t="s">
        <v>953</v>
      </c>
      <c r="AC90" t="s">
        <v>954</v>
      </c>
      <c r="AD90" t="s">
        <v>5155</v>
      </c>
      <c r="AE90" t="s">
        <v>5156</v>
      </c>
      <c r="AF90" t="s">
        <v>5177</v>
      </c>
      <c r="AG90" t="s">
        <v>5187</v>
      </c>
    </row>
    <row r="91" spans="1:33">
      <c r="A91" s="85" t="str">
        <f>IF(C91="","",VLOOKUP('OPĆI DIO'!$C$3,'OPĆI DIO'!$L$6:$U$138,10,FALSE))</f>
        <v>08006</v>
      </c>
      <c r="B91" s="85" t="str">
        <f>IF(C91="","",VLOOKUP('OPĆI DIO'!$C$3,'OPĆI DIO'!$L$6:$U$138,9,FALSE))</f>
        <v>Sveučilišta i veleučilišta u Republici Hrvatskoj</v>
      </c>
      <c r="C91" s="90">
        <v>11</v>
      </c>
      <c r="D91" s="85" t="str">
        <f t="shared" si="13"/>
        <v>Opći prihodi i primici</v>
      </c>
      <c r="E91" s="90">
        <v>3221</v>
      </c>
      <c r="F91" s="85" t="str">
        <f t="shared" si="14"/>
        <v>Uredski materijal i ostali materijalni rashodi</v>
      </c>
      <c r="G91" s="123" t="s">
        <v>673</v>
      </c>
      <c r="H91" s="85" t="str">
        <f t="shared" si="15"/>
        <v>PROGRAMSKO FINANCIRANJE JAVNIH VISOKIH UČILIŠTA</v>
      </c>
      <c r="I91" s="85" t="str">
        <f t="shared" si="16"/>
        <v>0942</v>
      </c>
      <c r="J91" s="122">
        <v>38224</v>
      </c>
      <c r="K91" s="122">
        <v>39409</v>
      </c>
      <c r="L91" s="122">
        <v>39409</v>
      </c>
      <c r="M91" s="89"/>
      <c r="O91" t="str">
        <f t="shared" si="17"/>
        <v>322</v>
      </c>
      <c r="P91" t="str">
        <f t="shared" si="18"/>
        <v>32</v>
      </c>
      <c r="Q91" t="str">
        <f t="shared" si="19"/>
        <v>11</v>
      </c>
      <c r="R91" t="str">
        <f t="shared" si="20"/>
        <v>94</v>
      </c>
      <c r="V91">
        <v>4212</v>
      </c>
      <c r="W91" t="s">
        <v>60</v>
      </c>
      <c r="Y91" s="251" t="str">
        <f t="shared" si="23"/>
        <v>42</v>
      </c>
      <c r="Z91" t="str">
        <f t="shared" si="24"/>
        <v>421</v>
      </c>
      <c r="AB91" t="s">
        <v>960</v>
      </c>
      <c r="AC91" t="s">
        <v>961</v>
      </c>
      <c r="AD91" t="s">
        <v>5153</v>
      </c>
      <c r="AE91" t="s">
        <v>5154</v>
      </c>
      <c r="AF91" t="s">
        <v>5179</v>
      </c>
      <c r="AG91" t="s">
        <v>5180</v>
      </c>
    </row>
    <row r="92" spans="1:33">
      <c r="A92" s="85" t="str">
        <f>IF(C92="","",VLOOKUP('OPĆI DIO'!$C$3,'OPĆI DIO'!$L$6:$U$138,10,FALSE))</f>
        <v>08006</v>
      </c>
      <c r="B92" s="85" t="str">
        <f>IF(C92="","",VLOOKUP('OPĆI DIO'!$C$3,'OPĆI DIO'!$L$6:$U$138,9,FALSE))</f>
        <v>Sveučilišta i veleučilišta u Republici Hrvatskoj</v>
      </c>
      <c r="C92" s="90">
        <v>11</v>
      </c>
      <c r="D92" s="85" t="str">
        <f t="shared" si="13"/>
        <v>Opći prihodi i primici</v>
      </c>
      <c r="E92" s="90">
        <v>3222</v>
      </c>
      <c r="F92" s="85" t="str">
        <f t="shared" si="14"/>
        <v>Materijal i sirovine</v>
      </c>
      <c r="G92" s="123" t="s">
        <v>673</v>
      </c>
      <c r="H92" s="85" t="str">
        <f t="shared" si="15"/>
        <v>PROGRAMSKO FINANCIRANJE JAVNIH VISOKIH UČILIŠTA</v>
      </c>
      <c r="I92" s="85" t="str">
        <f t="shared" si="16"/>
        <v>0942</v>
      </c>
      <c r="J92" s="122">
        <v>26709</v>
      </c>
      <c r="K92" s="122">
        <v>27537</v>
      </c>
      <c r="L92" s="122">
        <v>27537</v>
      </c>
      <c r="M92" s="89"/>
      <c r="O92" t="str">
        <f t="shared" si="17"/>
        <v>322</v>
      </c>
      <c r="P92" t="str">
        <f t="shared" si="18"/>
        <v>32</v>
      </c>
      <c r="Q92" t="str">
        <f t="shared" si="19"/>
        <v>11</v>
      </c>
      <c r="R92" t="str">
        <f t="shared" si="20"/>
        <v>94</v>
      </c>
      <c r="V92">
        <v>4213</v>
      </c>
      <c r="W92" t="s">
        <v>159</v>
      </c>
      <c r="Y92" s="251" t="str">
        <f t="shared" si="23"/>
        <v>42</v>
      </c>
      <c r="Z92" t="str">
        <f t="shared" si="24"/>
        <v>421</v>
      </c>
      <c r="AB92" t="s">
        <v>1639</v>
      </c>
      <c r="AC92" t="s">
        <v>1640</v>
      </c>
      <c r="AD92" t="s">
        <v>5153</v>
      </c>
      <c r="AE92" t="s">
        <v>5154</v>
      </c>
      <c r="AF92" t="s">
        <v>5179</v>
      </c>
      <c r="AG92" t="s">
        <v>5180</v>
      </c>
    </row>
    <row r="93" spans="1:33">
      <c r="A93" s="85" t="str">
        <f>IF(C93="","",VLOOKUP('OPĆI DIO'!$C$3,'OPĆI DIO'!$L$6:$U$138,10,FALSE))</f>
        <v>08006</v>
      </c>
      <c r="B93" s="85" t="str">
        <f>IF(C93="","",VLOOKUP('OPĆI DIO'!$C$3,'OPĆI DIO'!$L$6:$U$138,9,FALSE))</f>
        <v>Sveučilišta i veleučilišta u Republici Hrvatskoj</v>
      </c>
      <c r="C93" s="90">
        <v>11</v>
      </c>
      <c r="D93" s="85" t="str">
        <f t="shared" si="13"/>
        <v>Opći prihodi i primici</v>
      </c>
      <c r="E93" s="90">
        <v>3223</v>
      </c>
      <c r="F93" s="85" t="str">
        <f t="shared" si="14"/>
        <v>Energija</v>
      </c>
      <c r="G93" s="123" t="s">
        <v>673</v>
      </c>
      <c r="H93" s="85" t="str">
        <f t="shared" si="15"/>
        <v>PROGRAMSKO FINANCIRANJE JAVNIH VISOKIH UČILIŠTA</v>
      </c>
      <c r="I93" s="85" t="str">
        <f t="shared" si="16"/>
        <v>0942</v>
      </c>
      <c r="J93" s="122">
        <v>82421</v>
      </c>
      <c r="K93" s="122">
        <v>72496</v>
      </c>
      <c r="L93" s="122">
        <v>72496</v>
      </c>
      <c r="M93" s="89"/>
      <c r="O93" t="str">
        <f t="shared" si="17"/>
        <v>322</v>
      </c>
      <c r="P93" t="str">
        <f t="shared" si="18"/>
        <v>32</v>
      </c>
      <c r="Q93" t="str">
        <f t="shared" si="19"/>
        <v>11</v>
      </c>
      <c r="R93" t="str">
        <f t="shared" si="20"/>
        <v>94</v>
      </c>
      <c r="V93">
        <v>4214</v>
      </c>
      <c r="W93" t="s">
        <v>160</v>
      </c>
      <c r="Y93" s="251" t="str">
        <f t="shared" si="23"/>
        <v>42</v>
      </c>
      <c r="Z93" t="str">
        <f t="shared" si="24"/>
        <v>421</v>
      </c>
      <c r="AB93" t="s">
        <v>1927</v>
      </c>
      <c r="AC93" t="s">
        <v>1928</v>
      </c>
      <c r="AD93" t="s">
        <v>5153</v>
      </c>
      <c r="AE93" t="s">
        <v>5154</v>
      </c>
      <c r="AF93" t="s">
        <v>5179</v>
      </c>
      <c r="AG93" t="s">
        <v>5180</v>
      </c>
    </row>
    <row r="94" spans="1:33">
      <c r="A94" s="85" t="str">
        <f>IF(C94="","",VLOOKUP('OPĆI DIO'!$C$3,'OPĆI DIO'!$L$6:$U$138,10,FALSE))</f>
        <v>08006</v>
      </c>
      <c r="B94" s="85" t="str">
        <f>IF(C94="","",VLOOKUP('OPĆI DIO'!$C$3,'OPĆI DIO'!$L$6:$U$138,9,FALSE))</f>
        <v>Sveučilišta i veleučilišta u Republici Hrvatskoj</v>
      </c>
      <c r="C94" s="90">
        <v>11</v>
      </c>
      <c r="D94" s="85" t="str">
        <f t="shared" si="13"/>
        <v>Opći prihodi i primici</v>
      </c>
      <c r="E94" s="90">
        <v>3224</v>
      </c>
      <c r="F94" s="85" t="str">
        <f t="shared" si="14"/>
        <v>Materijal i dijelovi za tekuće i investicijsko održavanje</v>
      </c>
      <c r="G94" s="123" t="s">
        <v>673</v>
      </c>
      <c r="H94" s="85" t="str">
        <f t="shared" si="15"/>
        <v>PROGRAMSKO FINANCIRANJE JAVNIH VISOKIH UČILIŠTA</v>
      </c>
      <c r="I94" s="85" t="str">
        <f t="shared" si="16"/>
        <v>0942</v>
      </c>
      <c r="J94" s="122">
        <v>10273</v>
      </c>
      <c r="K94" s="122">
        <v>10591</v>
      </c>
      <c r="L94" s="122">
        <v>10591</v>
      </c>
      <c r="M94" s="89"/>
      <c r="O94" t="str">
        <f t="shared" si="17"/>
        <v>322</v>
      </c>
      <c r="P94" t="str">
        <f t="shared" si="18"/>
        <v>32</v>
      </c>
      <c r="Q94" t="str">
        <f t="shared" si="19"/>
        <v>11</v>
      </c>
      <c r="R94" t="str">
        <f t="shared" si="20"/>
        <v>94</v>
      </c>
      <c r="V94">
        <v>4221</v>
      </c>
      <c r="W94" t="s">
        <v>95</v>
      </c>
      <c r="Y94" s="251" t="str">
        <f t="shared" si="23"/>
        <v>42</v>
      </c>
      <c r="Z94" t="str">
        <f t="shared" si="24"/>
        <v>422</v>
      </c>
      <c r="AB94" t="s">
        <v>1641</v>
      </c>
      <c r="AC94" t="s">
        <v>1642</v>
      </c>
      <c r="AD94" t="s">
        <v>5155</v>
      </c>
      <c r="AE94" t="s">
        <v>5156</v>
      </c>
      <c r="AF94" t="s">
        <v>5177</v>
      </c>
      <c r="AG94" t="s">
        <v>5187</v>
      </c>
    </row>
    <row r="95" spans="1:33">
      <c r="A95" s="85" t="str">
        <f>IF(C95="","",VLOOKUP('OPĆI DIO'!$C$3,'OPĆI DIO'!$L$6:$U$138,10,FALSE))</f>
        <v>08006</v>
      </c>
      <c r="B95" s="85" t="str">
        <f>IF(C95="","",VLOOKUP('OPĆI DIO'!$C$3,'OPĆI DIO'!$L$6:$U$138,9,FALSE))</f>
        <v>Sveučilišta i veleučilišta u Republici Hrvatskoj</v>
      </c>
      <c r="C95" s="90">
        <v>11</v>
      </c>
      <c r="D95" s="85" t="str">
        <f t="shared" si="13"/>
        <v>Opći prihodi i primici</v>
      </c>
      <c r="E95" s="90">
        <v>3227</v>
      </c>
      <c r="F95" s="85" t="str">
        <f t="shared" si="14"/>
        <v>Službena, radna i zaštitna odjeća i obuća</v>
      </c>
      <c r="G95" s="123" t="s">
        <v>673</v>
      </c>
      <c r="H95" s="85" t="str">
        <f t="shared" si="15"/>
        <v>PROGRAMSKO FINANCIRANJE JAVNIH VISOKIH UČILIŠTA</v>
      </c>
      <c r="I95" s="85" t="str">
        <f t="shared" si="16"/>
        <v>0942</v>
      </c>
      <c r="J95" s="122">
        <v>4623</v>
      </c>
      <c r="K95" s="122">
        <v>4766</v>
      </c>
      <c r="L95" s="122">
        <v>4766</v>
      </c>
      <c r="M95" s="89"/>
      <c r="O95" t="str">
        <f t="shared" si="17"/>
        <v>322</v>
      </c>
      <c r="P95" t="str">
        <f t="shared" si="18"/>
        <v>32</v>
      </c>
      <c r="Q95" t="str">
        <f t="shared" si="19"/>
        <v>11</v>
      </c>
      <c r="R95" t="str">
        <f t="shared" si="20"/>
        <v>94</v>
      </c>
      <c r="V95">
        <v>4222</v>
      </c>
      <c r="W95" t="s">
        <v>106</v>
      </c>
      <c r="Y95" s="251" t="str">
        <f t="shared" si="23"/>
        <v>42</v>
      </c>
      <c r="Z95" t="str">
        <f t="shared" si="24"/>
        <v>422</v>
      </c>
      <c r="AB95" t="s">
        <v>1929</v>
      </c>
      <c r="AC95" t="s">
        <v>1930</v>
      </c>
      <c r="AD95" t="s">
        <v>5155</v>
      </c>
      <c r="AE95" t="s">
        <v>5156</v>
      </c>
      <c r="AF95" t="s">
        <v>5177</v>
      </c>
      <c r="AG95" t="s">
        <v>5187</v>
      </c>
    </row>
    <row r="96" spans="1:33">
      <c r="A96" s="85" t="str">
        <f>IF(C96="","",VLOOKUP('OPĆI DIO'!$C$3,'OPĆI DIO'!$L$6:$U$138,10,FALSE))</f>
        <v>08006</v>
      </c>
      <c r="B96" s="85" t="str">
        <f>IF(C96="","",VLOOKUP('OPĆI DIO'!$C$3,'OPĆI DIO'!$L$6:$U$138,9,FALSE))</f>
        <v>Sveučilišta i veleučilišta u Republici Hrvatskoj</v>
      </c>
      <c r="C96" s="90">
        <v>11</v>
      </c>
      <c r="D96" s="85" t="str">
        <f t="shared" si="13"/>
        <v>Opći prihodi i primici</v>
      </c>
      <c r="E96" s="90">
        <v>3225</v>
      </c>
      <c r="F96" s="85" t="str">
        <f t="shared" si="14"/>
        <v>Sitni inventar i auto gume</v>
      </c>
      <c r="G96" s="123" t="s">
        <v>673</v>
      </c>
      <c r="H96" s="85" t="str">
        <f t="shared" si="15"/>
        <v>PROGRAMSKO FINANCIRANJE JAVNIH VISOKIH UČILIŠTA</v>
      </c>
      <c r="I96" s="85" t="str">
        <f t="shared" si="16"/>
        <v>0942</v>
      </c>
      <c r="J96" s="122">
        <v>4623</v>
      </c>
      <c r="K96" s="122">
        <v>4766</v>
      </c>
      <c r="L96" s="122">
        <v>4766</v>
      </c>
      <c r="M96" s="89"/>
      <c r="O96" t="str">
        <f t="shared" si="17"/>
        <v>322</v>
      </c>
      <c r="P96" t="str">
        <f t="shared" si="18"/>
        <v>32</v>
      </c>
      <c r="Q96" t="str">
        <f t="shared" si="19"/>
        <v>11</v>
      </c>
      <c r="R96" t="str">
        <f t="shared" si="20"/>
        <v>94</v>
      </c>
      <c r="V96">
        <v>4223</v>
      </c>
      <c r="W96" t="s">
        <v>119</v>
      </c>
      <c r="Y96" s="251" t="str">
        <f t="shared" si="23"/>
        <v>42</v>
      </c>
      <c r="Z96" t="str">
        <f t="shared" si="24"/>
        <v>422</v>
      </c>
      <c r="AB96" t="s">
        <v>1931</v>
      </c>
      <c r="AC96" t="s">
        <v>1932</v>
      </c>
      <c r="AD96" t="s">
        <v>5155</v>
      </c>
      <c r="AE96" t="s">
        <v>5156</v>
      </c>
      <c r="AF96" t="s">
        <v>5177</v>
      </c>
      <c r="AG96" t="s">
        <v>5187</v>
      </c>
    </row>
    <row r="97" spans="1:33">
      <c r="A97" s="85" t="str">
        <f>IF(C97="","",VLOOKUP('OPĆI DIO'!$C$3,'OPĆI DIO'!$L$6:$U$138,10,FALSE))</f>
        <v>08006</v>
      </c>
      <c r="B97" s="85" t="str">
        <f>IF(C97="","",VLOOKUP('OPĆI DIO'!$C$3,'OPĆI DIO'!$L$6:$U$138,9,FALSE))</f>
        <v>Sveučilišta i veleučilišta u Republici Hrvatskoj</v>
      </c>
      <c r="C97" s="90">
        <v>11</v>
      </c>
      <c r="D97" s="85" t="str">
        <f t="shared" si="13"/>
        <v>Opći prihodi i primici</v>
      </c>
      <c r="E97" s="90">
        <v>3231</v>
      </c>
      <c r="F97" s="85" t="str">
        <f t="shared" si="14"/>
        <v>Usluge telefona, pošte i prijevoza</v>
      </c>
      <c r="G97" s="123" t="s">
        <v>673</v>
      </c>
      <c r="H97" s="85" t="str">
        <f t="shared" si="15"/>
        <v>PROGRAMSKO FINANCIRANJE JAVNIH VISOKIH UČILIŠTA</v>
      </c>
      <c r="I97" s="85" t="str">
        <f t="shared" si="16"/>
        <v>0942</v>
      </c>
      <c r="J97" s="122">
        <v>39419</v>
      </c>
      <c r="K97" s="122">
        <v>40641</v>
      </c>
      <c r="L97" s="122">
        <v>40641</v>
      </c>
      <c r="M97" s="89"/>
      <c r="O97" t="str">
        <f t="shared" si="17"/>
        <v>323</v>
      </c>
      <c r="P97" t="str">
        <f t="shared" si="18"/>
        <v>32</v>
      </c>
      <c r="Q97" t="str">
        <f t="shared" si="19"/>
        <v>11</v>
      </c>
      <c r="R97" t="str">
        <f t="shared" si="20"/>
        <v>94</v>
      </c>
      <c r="V97">
        <v>4224</v>
      </c>
      <c r="W97" t="s">
        <v>112</v>
      </c>
      <c r="Y97" s="251" t="str">
        <f t="shared" si="23"/>
        <v>42</v>
      </c>
      <c r="Z97" t="str">
        <f t="shared" si="24"/>
        <v>422</v>
      </c>
      <c r="AB97" t="s">
        <v>1933</v>
      </c>
      <c r="AC97" t="s">
        <v>1934</v>
      </c>
      <c r="AD97" t="s">
        <v>5155</v>
      </c>
      <c r="AE97" t="s">
        <v>5156</v>
      </c>
      <c r="AF97" t="s">
        <v>5177</v>
      </c>
      <c r="AG97" t="s">
        <v>5187</v>
      </c>
    </row>
    <row r="98" spans="1:33">
      <c r="A98" s="85" t="str">
        <f>IF(C98="","",VLOOKUP('OPĆI DIO'!$C$3,'OPĆI DIO'!$L$6:$U$138,10,FALSE))</f>
        <v>08006</v>
      </c>
      <c r="B98" s="85" t="str">
        <f>IF(C98="","",VLOOKUP('OPĆI DIO'!$C$3,'OPĆI DIO'!$L$6:$U$138,9,FALSE))</f>
        <v>Sveučilišta i veleučilišta u Republici Hrvatskoj</v>
      </c>
      <c r="C98" s="90">
        <v>11</v>
      </c>
      <c r="D98" s="85" t="str">
        <f t="shared" si="13"/>
        <v>Opći prihodi i primici</v>
      </c>
      <c r="E98" s="90">
        <v>3232</v>
      </c>
      <c r="F98" s="85" t="str">
        <f t="shared" si="14"/>
        <v>Usluge tekućeg i investicijskog održavanja</v>
      </c>
      <c r="G98" s="123" t="s">
        <v>673</v>
      </c>
      <c r="H98" s="85" t="str">
        <f t="shared" si="15"/>
        <v>PROGRAMSKO FINANCIRANJE JAVNIH VISOKIH UČILIŠTA</v>
      </c>
      <c r="I98" s="85" t="str">
        <f t="shared" si="16"/>
        <v>0942</v>
      </c>
      <c r="J98" s="122">
        <v>103955</v>
      </c>
      <c r="K98" s="122">
        <v>96117</v>
      </c>
      <c r="L98" s="122">
        <v>96117</v>
      </c>
      <c r="M98" s="89"/>
      <c r="O98" t="str">
        <f t="shared" si="17"/>
        <v>323</v>
      </c>
      <c r="P98" t="str">
        <f t="shared" si="18"/>
        <v>32</v>
      </c>
      <c r="Q98" t="str">
        <f t="shared" si="19"/>
        <v>11</v>
      </c>
      <c r="R98" t="str">
        <f t="shared" si="20"/>
        <v>94</v>
      </c>
      <c r="V98">
        <v>4225</v>
      </c>
      <c r="W98" t="s">
        <v>116</v>
      </c>
      <c r="Y98" s="251" t="str">
        <f t="shared" si="23"/>
        <v>42</v>
      </c>
      <c r="Z98" t="str">
        <f t="shared" si="24"/>
        <v>422</v>
      </c>
      <c r="AB98" t="s">
        <v>1935</v>
      </c>
      <c r="AC98" t="s">
        <v>1936</v>
      </c>
      <c r="AD98" t="s">
        <v>5155</v>
      </c>
      <c r="AE98" t="s">
        <v>5156</v>
      </c>
      <c r="AF98" t="s">
        <v>5177</v>
      </c>
      <c r="AG98" t="s">
        <v>5187</v>
      </c>
    </row>
    <row r="99" spans="1:33">
      <c r="A99" s="85" t="str">
        <f>IF(C99="","",VLOOKUP('OPĆI DIO'!$C$3,'OPĆI DIO'!$L$6:$U$138,10,FALSE))</f>
        <v>08006</v>
      </c>
      <c r="B99" s="85" t="str">
        <f>IF(C99="","",VLOOKUP('OPĆI DIO'!$C$3,'OPĆI DIO'!$L$6:$U$138,9,FALSE))</f>
        <v>Sveučilišta i veleučilišta u Republici Hrvatskoj</v>
      </c>
      <c r="C99" s="90">
        <v>11</v>
      </c>
      <c r="D99" s="85" t="str">
        <f t="shared" si="13"/>
        <v>Opći prihodi i primici</v>
      </c>
      <c r="E99" s="90">
        <v>3233</v>
      </c>
      <c r="F99" s="85" t="str">
        <f t="shared" si="14"/>
        <v>Usluge promidžbe i informiranja</v>
      </c>
      <c r="G99" s="123" t="s">
        <v>673</v>
      </c>
      <c r="H99" s="85" t="str">
        <f t="shared" si="15"/>
        <v>PROGRAMSKO FINANCIRANJE JAVNIH VISOKIH UČILIŠTA</v>
      </c>
      <c r="I99" s="85" t="str">
        <f t="shared" si="16"/>
        <v>0942</v>
      </c>
      <c r="J99" s="122">
        <v>14510</v>
      </c>
      <c r="K99" s="122">
        <v>14870</v>
      </c>
      <c r="L99" s="122">
        <v>14870</v>
      </c>
      <c r="M99" s="89"/>
      <c r="O99" t="str">
        <f t="shared" si="17"/>
        <v>323</v>
      </c>
      <c r="P99" t="str">
        <f t="shared" si="18"/>
        <v>32</v>
      </c>
      <c r="Q99" t="str">
        <f t="shared" si="19"/>
        <v>11</v>
      </c>
      <c r="R99" t="str">
        <f t="shared" si="20"/>
        <v>94</v>
      </c>
      <c r="V99">
        <v>4226</v>
      </c>
      <c r="W99" t="s">
        <v>161</v>
      </c>
      <c r="Y99" s="251" t="str">
        <f t="shared" si="23"/>
        <v>42</v>
      </c>
      <c r="Z99" t="str">
        <f t="shared" si="24"/>
        <v>422</v>
      </c>
      <c r="AB99" t="s">
        <v>1937</v>
      </c>
      <c r="AC99" t="s">
        <v>1938</v>
      </c>
      <c r="AD99" t="s">
        <v>5155</v>
      </c>
      <c r="AE99" t="s">
        <v>5156</v>
      </c>
      <c r="AF99" t="s">
        <v>5177</v>
      </c>
      <c r="AG99" t="s">
        <v>5187</v>
      </c>
    </row>
    <row r="100" spans="1:33">
      <c r="A100" s="85" t="str">
        <f>IF(C100="","",VLOOKUP('OPĆI DIO'!$C$3,'OPĆI DIO'!$L$6:$U$138,10,FALSE))</f>
        <v>08006</v>
      </c>
      <c r="B100" s="85" t="str">
        <f>IF(C100="","",VLOOKUP('OPĆI DIO'!$C$3,'OPĆI DIO'!$L$6:$U$138,9,FALSE))</f>
        <v>Sveučilišta i veleučilišta u Republici Hrvatskoj</v>
      </c>
      <c r="C100" s="90">
        <v>11</v>
      </c>
      <c r="D100" s="85" t="str">
        <f t="shared" si="13"/>
        <v>Opći prihodi i primici</v>
      </c>
      <c r="E100" s="90">
        <v>3234</v>
      </c>
      <c r="F100" s="85" t="str">
        <f t="shared" si="14"/>
        <v>Komunalne usluge</v>
      </c>
      <c r="G100" s="123" t="s">
        <v>673</v>
      </c>
      <c r="H100" s="85" t="str">
        <f t="shared" si="15"/>
        <v>PROGRAMSKO FINANCIRANJE JAVNIH VISOKIH UČILIŠTA</v>
      </c>
      <c r="I100" s="85" t="str">
        <f t="shared" si="16"/>
        <v>0942</v>
      </c>
      <c r="J100" s="122">
        <v>26279</v>
      </c>
      <c r="K100" s="122">
        <v>27094</v>
      </c>
      <c r="L100" s="122">
        <v>27094</v>
      </c>
      <c r="M100" s="89"/>
      <c r="O100" t="str">
        <f t="shared" si="17"/>
        <v>323</v>
      </c>
      <c r="P100" t="str">
        <f t="shared" si="18"/>
        <v>32</v>
      </c>
      <c r="Q100" t="str">
        <f t="shared" si="19"/>
        <v>11</v>
      </c>
      <c r="R100" t="str">
        <f t="shared" si="20"/>
        <v>94</v>
      </c>
      <c r="V100">
        <v>4227</v>
      </c>
      <c r="W100" t="s">
        <v>129</v>
      </c>
      <c r="Y100" s="251" t="str">
        <f t="shared" si="23"/>
        <v>42</v>
      </c>
      <c r="Z100" t="str">
        <f t="shared" si="24"/>
        <v>422</v>
      </c>
      <c r="AB100" t="s">
        <v>1939</v>
      </c>
      <c r="AC100" t="s">
        <v>1940</v>
      </c>
      <c r="AD100" t="s">
        <v>5155</v>
      </c>
      <c r="AE100" t="s">
        <v>5156</v>
      </c>
      <c r="AF100" t="s">
        <v>5177</v>
      </c>
      <c r="AG100" t="s">
        <v>5187</v>
      </c>
    </row>
    <row r="101" spans="1:33">
      <c r="A101" s="85" t="str">
        <f>IF(C101="","",VLOOKUP('OPĆI DIO'!$C$3,'OPĆI DIO'!$L$6:$U$138,10,FALSE))</f>
        <v>08006</v>
      </c>
      <c r="B101" s="85" t="str">
        <f>IF(C101="","",VLOOKUP('OPĆI DIO'!$C$3,'OPĆI DIO'!$L$6:$U$138,9,FALSE))</f>
        <v>Sveučilišta i veleučilišta u Republici Hrvatskoj</v>
      </c>
      <c r="C101" s="90">
        <v>11</v>
      </c>
      <c r="D101" s="85" t="str">
        <f t="shared" si="13"/>
        <v>Opći prihodi i primici</v>
      </c>
      <c r="E101" s="90">
        <v>3235</v>
      </c>
      <c r="F101" s="85" t="str">
        <f t="shared" si="14"/>
        <v>Zakupnine i najamnine</v>
      </c>
      <c r="G101" s="123" t="s">
        <v>673</v>
      </c>
      <c r="H101" s="85" t="str">
        <f t="shared" si="15"/>
        <v>PROGRAMSKO FINANCIRANJE JAVNIH VISOKIH UČILIŠTA</v>
      </c>
      <c r="I101" s="85" t="str">
        <f t="shared" si="16"/>
        <v>0942</v>
      </c>
      <c r="J101" s="122">
        <v>22600</v>
      </c>
      <c r="K101" s="122">
        <v>23301</v>
      </c>
      <c r="L101" s="122">
        <v>23301</v>
      </c>
      <c r="M101" s="89"/>
      <c r="O101" t="str">
        <f t="shared" si="17"/>
        <v>323</v>
      </c>
      <c r="P101" t="str">
        <f t="shared" si="18"/>
        <v>32</v>
      </c>
      <c r="Q101" t="str">
        <f t="shared" si="19"/>
        <v>11</v>
      </c>
      <c r="R101" t="str">
        <f t="shared" si="20"/>
        <v>94</v>
      </c>
      <c r="V101">
        <v>4231</v>
      </c>
      <c r="W101" t="s">
        <v>162</v>
      </c>
      <c r="Y101" s="251" t="str">
        <f t="shared" si="23"/>
        <v>42</v>
      </c>
      <c r="Z101" t="str">
        <f t="shared" si="24"/>
        <v>423</v>
      </c>
      <c r="AB101" t="s">
        <v>1941</v>
      </c>
      <c r="AC101" t="s">
        <v>1942</v>
      </c>
      <c r="AD101" t="s">
        <v>5155</v>
      </c>
      <c r="AE101" t="s">
        <v>5156</v>
      </c>
      <c r="AF101" t="s">
        <v>5177</v>
      </c>
      <c r="AG101" t="s">
        <v>5187</v>
      </c>
    </row>
    <row r="102" spans="1:33">
      <c r="A102" s="85" t="str">
        <f>IF(C102="","",VLOOKUP('OPĆI DIO'!$C$3,'OPĆI DIO'!$L$6:$U$138,10,FALSE))</f>
        <v>08006</v>
      </c>
      <c r="B102" s="85" t="str">
        <f>IF(C102="","",VLOOKUP('OPĆI DIO'!$C$3,'OPĆI DIO'!$L$6:$U$138,9,FALSE))</f>
        <v>Sveučilišta i veleučilišta u Republici Hrvatskoj</v>
      </c>
      <c r="C102" s="90">
        <v>11</v>
      </c>
      <c r="D102" s="85" t="str">
        <f t="shared" si="13"/>
        <v>Opći prihodi i primici</v>
      </c>
      <c r="E102" s="90">
        <v>3237</v>
      </c>
      <c r="F102" s="85" t="str">
        <f t="shared" si="14"/>
        <v>Intelektualne i osobne usluge</v>
      </c>
      <c r="G102" s="123" t="s">
        <v>673</v>
      </c>
      <c r="H102" s="85" t="str">
        <f t="shared" si="15"/>
        <v>PROGRAMSKO FINANCIRANJE JAVNIH VISOKIH UČILIŠTA</v>
      </c>
      <c r="I102" s="85" t="str">
        <f t="shared" si="16"/>
        <v>0942</v>
      </c>
      <c r="J102" s="122">
        <v>132723</v>
      </c>
      <c r="K102" s="122">
        <v>136837</v>
      </c>
      <c r="L102" s="122">
        <v>136837</v>
      </c>
      <c r="M102" s="89"/>
      <c r="O102" t="str">
        <f t="shared" si="17"/>
        <v>323</v>
      </c>
      <c r="P102" t="str">
        <f t="shared" si="18"/>
        <v>32</v>
      </c>
      <c r="Q102" t="str">
        <f t="shared" si="19"/>
        <v>11</v>
      </c>
      <c r="R102" t="str">
        <f t="shared" si="20"/>
        <v>94</v>
      </c>
      <c r="V102">
        <v>4233</v>
      </c>
      <c r="W102" t="s">
        <v>170</v>
      </c>
      <c r="Y102" s="251" t="str">
        <f t="shared" ref="Y102:Y129" si="25">LEFT(V102,2)</f>
        <v>42</v>
      </c>
      <c r="Z102" t="str">
        <f t="shared" si="24"/>
        <v>423</v>
      </c>
      <c r="AB102" t="s">
        <v>1943</v>
      </c>
      <c r="AC102" t="s">
        <v>1944</v>
      </c>
      <c r="AD102" t="s">
        <v>5153</v>
      </c>
      <c r="AE102" t="s">
        <v>5154</v>
      </c>
      <c r="AF102" t="s">
        <v>5179</v>
      </c>
      <c r="AG102" t="s">
        <v>5180</v>
      </c>
    </row>
    <row r="103" spans="1:33">
      <c r="A103" s="85" t="str">
        <f>IF(C103="","",VLOOKUP('OPĆI DIO'!$C$3,'OPĆI DIO'!$L$6:$U$138,10,FALSE))</f>
        <v>08006</v>
      </c>
      <c r="B103" s="85" t="str">
        <f>IF(C103="","",VLOOKUP('OPĆI DIO'!$C$3,'OPĆI DIO'!$L$6:$U$138,9,FALSE))</f>
        <v>Sveučilišta i veleučilišta u Republici Hrvatskoj</v>
      </c>
      <c r="C103" s="90">
        <v>11</v>
      </c>
      <c r="D103" s="85" t="str">
        <f t="shared" si="13"/>
        <v>Opći prihodi i primici</v>
      </c>
      <c r="E103" s="90">
        <v>3238</v>
      </c>
      <c r="F103" s="85" t="str">
        <f t="shared" si="14"/>
        <v>Računalne usluge</v>
      </c>
      <c r="G103" s="123" t="s">
        <v>673</v>
      </c>
      <c r="H103" s="85" t="str">
        <f t="shared" si="15"/>
        <v>PROGRAMSKO FINANCIRANJE JAVNIH VISOKIH UČILIŠTA</v>
      </c>
      <c r="I103" s="85" t="str">
        <f t="shared" si="16"/>
        <v>0942</v>
      </c>
      <c r="J103" s="122">
        <v>19518</v>
      </c>
      <c r="K103" s="122">
        <v>20123</v>
      </c>
      <c r="L103" s="122">
        <v>20123</v>
      </c>
      <c r="M103" s="89"/>
      <c r="O103" t="str">
        <f t="shared" si="17"/>
        <v>323</v>
      </c>
      <c r="P103" t="str">
        <f t="shared" si="18"/>
        <v>32</v>
      </c>
      <c r="Q103" t="str">
        <f t="shared" si="19"/>
        <v>11</v>
      </c>
      <c r="R103" t="str">
        <f t="shared" si="20"/>
        <v>94</v>
      </c>
      <c r="V103">
        <v>4241</v>
      </c>
      <c r="W103" t="s">
        <v>107</v>
      </c>
      <c r="Y103" s="251" t="str">
        <f t="shared" si="25"/>
        <v>42</v>
      </c>
      <c r="Z103" t="str">
        <f t="shared" si="24"/>
        <v>424</v>
      </c>
      <c r="AB103" t="s">
        <v>1643</v>
      </c>
      <c r="AC103" t="s">
        <v>1644</v>
      </c>
      <c r="AD103" t="s">
        <v>5167</v>
      </c>
      <c r="AE103" t="s">
        <v>5168</v>
      </c>
      <c r="AF103" t="s">
        <v>5177</v>
      </c>
      <c r="AG103" t="s">
        <v>5188</v>
      </c>
    </row>
    <row r="104" spans="1:33">
      <c r="A104" s="85" t="str">
        <f>IF(C104="","",VLOOKUP('OPĆI DIO'!$C$3,'OPĆI DIO'!$L$6:$U$138,10,FALSE))</f>
        <v>08006</v>
      </c>
      <c r="B104" s="85" t="str">
        <f>IF(C104="","",VLOOKUP('OPĆI DIO'!$C$3,'OPĆI DIO'!$L$6:$U$138,9,FALSE))</f>
        <v>Sveučilišta i veleučilišta u Republici Hrvatskoj</v>
      </c>
      <c r="C104" s="90">
        <v>11</v>
      </c>
      <c r="D104" s="85" t="str">
        <f t="shared" si="13"/>
        <v>Opći prihodi i primici</v>
      </c>
      <c r="E104" s="90">
        <v>3239</v>
      </c>
      <c r="F104" s="85" t="str">
        <f t="shared" si="14"/>
        <v>Ostale usluge</v>
      </c>
      <c r="G104" s="123" t="s">
        <v>673</v>
      </c>
      <c r="H104" s="85" t="str">
        <f t="shared" si="15"/>
        <v>PROGRAMSKO FINANCIRANJE JAVNIH VISOKIH UČILIŠTA</v>
      </c>
      <c r="I104" s="85" t="str">
        <f t="shared" si="16"/>
        <v>0942</v>
      </c>
      <c r="J104" s="122">
        <v>49309</v>
      </c>
      <c r="K104" s="122">
        <v>50838</v>
      </c>
      <c r="L104" s="122">
        <v>50838</v>
      </c>
      <c r="M104" s="89"/>
      <c r="O104" t="str">
        <f t="shared" si="17"/>
        <v>323</v>
      </c>
      <c r="P104" t="str">
        <f t="shared" si="18"/>
        <v>32</v>
      </c>
      <c r="Q104" t="str">
        <f t="shared" si="19"/>
        <v>11</v>
      </c>
      <c r="R104" t="str">
        <f t="shared" si="20"/>
        <v>94</v>
      </c>
      <c r="V104">
        <v>4242</v>
      </c>
      <c r="W104" t="s">
        <v>139</v>
      </c>
      <c r="Y104" s="251" t="str">
        <f t="shared" si="25"/>
        <v>42</v>
      </c>
      <c r="Z104" t="str">
        <f t="shared" si="24"/>
        <v>424</v>
      </c>
      <c r="AB104" t="s">
        <v>1945</v>
      </c>
      <c r="AC104" t="s">
        <v>1946</v>
      </c>
      <c r="AD104" t="s">
        <v>5155</v>
      </c>
      <c r="AE104" t="s">
        <v>5156</v>
      </c>
      <c r="AF104" t="s">
        <v>5177</v>
      </c>
      <c r="AG104" t="s">
        <v>5187</v>
      </c>
    </row>
    <row r="105" spans="1:33">
      <c r="A105" s="85" t="str">
        <f>IF(C105="","",VLOOKUP('OPĆI DIO'!$C$3,'OPĆI DIO'!$L$6:$U$138,10,FALSE))</f>
        <v>08006</v>
      </c>
      <c r="B105" s="85" t="str">
        <f>IF(C105="","",VLOOKUP('OPĆI DIO'!$C$3,'OPĆI DIO'!$L$6:$U$138,9,FALSE))</f>
        <v>Sveučilišta i veleučilišta u Republici Hrvatskoj</v>
      </c>
      <c r="C105" s="90">
        <v>11</v>
      </c>
      <c r="D105" s="85" t="str">
        <f t="shared" si="13"/>
        <v>Opći prihodi i primici</v>
      </c>
      <c r="E105" s="90">
        <v>3241</v>
      </c>
      <c r="F105" s="85" t="str">
        <f t="shared" si="14"/>
        <v>Naknade troškova osobama izvan radnog odnosa</v>
      </c>
      <c r="G105" s="123" t="s">
        <v>673</v>
      </c>
      <c r="H105" s="85" t="str">
        <f t="shared" si="15"/>
        <v>PROGRAMSKO FINANCIRANJE JAVNIH VISOKIH UČILIŠTA</v>
      </c>
      <c r="I105" s="85" t="str">
        <f t="shared" si="16"/>
        <v>0942</v>
      </c>
      <c r="J105" s="122">
        <v>20545</v>
      </c>
      <c r="K105" s="122">
        <v>21182</v>
      </c>
      <c r="L105" s="122">
        <v>21182</v>
      </c>
      <c r="M105" s="89"/>
      <c r="O105" t="str">
        <f t="shared" si="17"/>
        <v>324</v>
      </c>
      <c r="P105" t="str">
        <f t="shared" si="18"/>
        <v>32</v>
      </c>
      <c r="Q105" t="str">
        <f t="shared" si="19"/>
        <v>11</v>
      </c>
      <c r="R105" t="str">
        <f t="shared" si="20"/>
        <v>94</v>
      </c>
      <c r="V105">
        <v>4244</v>
      </c>
      <c r="W105" t="s">
        <v>171</v>
      </c>
      <c r="Y105" s="251" t="str">
        <f t="shared" si="25"/>
        <v>42</v>
      </c>
      <c r="Z105" t="str">
        <f t="shared" si="24"/>
        <v>424</v>
      </c>
      <c r="AB105" t="s">
        <v>1645</v>
      </c>
      <c r="AC105" t="s">
        <v>1646</v>
      </c>
      <c r="AD105" t="s">
        <v>5153</v>
      </c>
      <c r="AE105" t="s">
        <v>5154</v>
      </c>
      <c r="AF105" t="s">
        <v>5179</v>
      </c>
      <c r="AG105" t="s">
        <v>5180</v>
      </c>
    </row>
    <row r="106" spans="1:33">
      <c r="A106" s="85" t="str">
        <f>IF(C106="","",VLOOKUP('OPĆI DIO'!$C$3,'OPĆI DIO'!$L$6:$U$138,10,FALSE))</f>
        <v>08006</v>
      </c>
      <c r="B106" s="85" t="str">
        <f>IF(C106="","",VLOOKUP('OPĆI DIO'!$C$3,'OPĆI DIO'!$L$6:$U$138,9,FALSE))</f>
        <v>Sveučilišta i veleučilišta u Republici Hrvatskoj</v>
      </c>
      <c r="C106" s="90">
        <v>11</v>
      </c>
      <c r="D106" s="85" t="str">
        <f t="shared" si="13"/>
        <v>Opći prihodi i primici</v>
      </c>
      <c r="E106" s="90">
        <v>3292</v>
      </c>
      <c r="F106" s="85" t="str">
        <f t="shared" si="14"/>
        <v>Premije osiguranja</v>
      </c>
      <c r="G106" s="123" t="s">
        <v>673</v>
      </c>
      <c r="H106" s="85" t="str">
        <f t="shared" si="15"/>
        <v>PROGRAMSKO FINANCIRANJE JAVNIH VISOKIH UČILIŠTA</v>
      </c>
      <c r="I106" s="85" t="str">
        <f t="shared" si="16"/>
        <v>0942</v>
      </c>
      <c r="J106" s="122">
        <v>8013</v>
      </c>
      <c r="K106" s="122">
        <v>8261</v>
      </c>
      <c r="L106" s="122">
        <v>8261</v>
      </c>
      <c r="M106" s="89"/>
      <c r="O106" t="str">
        <f t="shared" si="17"/>
        <v>329</v>
      </c>
      <c r="P106" t="str">
        <f t="shared" si="18"/>
        <v>32</v>
      </c>
      <c r="Q106" t="str">
        <f t="shared" si="19"/>
        <v>11</v>
      </c>
      <c r="R106" t="str">
        <f t="shared" si="20"/>
        <v>94</v>
      </c>
      <c r="V106">
        <v>4251</v>
      </c>
      <c r="W106" t="s">
        <v>163</v>
      </c>
      <c r="Y106" s="251" t="str">
        <f t="shared" si="25"/>
        <v>42</v>
      </c>
      <c r="Z106" t="str">
        <f t="shared" si="24"/>
        <v>425</v>
      </c>
      <c r="AB106" t="s">
        <v>962</v>
      </c>
      <c r="AC106" t="s">
        <v>963</v>
      </c>
      <c r="AD106" t="s">
        <v>5153</v>
      </c>
      <c r="AE106" t="s">
        <v>5154</v>
      </c>
      <c r="AF106" t="s">
        <v>5179</v>
      </c>
      <c r="AG106" t="s">
        <v>5180</v>
      </c>
    </row>
    <row r="107" spans="1:33">
      <c r="A107" s="85" t="str">
        <f>IF(C107="","",VLOOKUP('OPĆI DIO'!$C$3,'OPĆI DIO'!$L$6:$U$138,10,FALSE))</f>
        <v>08006</v>
      </c>
      <c r="B107" s="85" t="str">
        <f>IF(C107="","",VLOOKUP('OPĆI DIO'!$C$3,'OPĆI DIO'!$L$6:$U$138,9,FALSE))</f>
        <v>Sveučilišta i veleučilišta u Republici Hrvatskoj</v>
      </c>
      <c r="C107" s="90">
        <v>11</v>
      </c>
      <c r="D107" s="85" t="str">
        <f t="shared" si="13"/>
        <v>Opći prihodi i primici</v>
      </c>
      <c r="E107" s="90">
        <v>3293</v>
      </c>
      <c r="F107" s="85" t="str">
        <f t="shared" si="14"/>
        <v>Reprezentacija</v>
      </c>
      <c r="G107" s="123" t="s">
        <v>673</v>
      </c>
      <c r="H107" s="85" t="str">
        <f t="shared" si="15"/>
        <v>PROGRAMSKO FINANCIRANJE JAVNIH VISOKIH UČILIŠTA</v>
      </c>
      <c r="I107" s="85" t="str">
        <f t="shared" si="16"/>
        <v>0942</v>
      </c>
      <c r="J107" s="122">
        <v>34465</v>
      </c>
      <c r="K107" s="122">
        <v>35533</v>
      </c>
      <c r="L107" s="122">
        <v>35533</v>
      </c>
      <c r="M107" s="89"/>
      <c r="O107" t="str">
        <f t="shared" si="17"/>
        <v>329</v>
      </c>
      <c r="P107" t="str">
        <f t="shared" si="18"/>
        <v>32</v>
      </c>
      <c r="Q107" t="str">
        <f t="shared" si="19"/>
        <v>11</v>
      </c>
      <c r="R107" t="str">
        <f t="shared" si="20"/>
        <v>94</v>
      </c>
      <c r="V107">
        <v>4252</v>
      </c>
      <c r="W107" t="s">
        <v>164</v>
      </c>
      <c r="Y107" s="251" t="str">
        <f t="shared" si="25"/>
        <v>42</v>
      </c>
      <c r="Z107" t="str">
        <f t="shared" si="24"/>
        <v>425</v>
      </c>
      <c r="AB107" t="s">
        <v>955</v>
      </c>
      <c r="AC107" t="s">
        <v>956</v>
      </c>
      <c r="AD107" t="s">
        <v>5155</v>
      </c>
      <c r="AE107" t="s">
        <v>5156</v>
      </c>
      <c r="AF107" t="s">
        <v>5177</v>
      </c>
      <c r="AG107" t="s">
        <v>5187</v>
      </c>
    </row>
    <row r="108" spans="1:33">
      <c r="A108" s="85" t="str">
        <f>IF(C108="","",VLOOKUP('OPĆI DIO'!$C$3,'OPĆI DIO'!$L$6:$U$138,10,FALSE))</f>
        <v>08006</v>
      </c>
      <c r="B108" s="85" t="str">
        <f>IF(C108="","",VLOOKUP('OPĆI DIO'!$C$3,'OPĆI DIO'!$L$6:$U$138,9,FALSE))</f>
        <v>Sveučilišta i veleučilišta u Republici Hrvatskoj</v>
      </c>
      <c r="C108" s="90">
        <v>11</v>
      </c>
      <c r="D108" s="85" t="str">
        <f t="shared" si="13"/>
        <v>Opći prihodi i primici</v>
      </c>
      <c r="E108" s="90">
        <v>3294</v>
      </c>
      <c r="F108" s="85" t="str">
        <f t="shared" si="14"/>
        <v>Članarine i norme</v>
      </c>
      <c r="G108" s="123" t="s">
        <v>673</v>
      </c>
      <c r="H108" s="85" t="str">
        <f t="shared" si="15"/>
        <v>PROGRAMSKO FINANCIRANJE JAVNIH VISOKIH UČILIŠTA</v>
      </c>
      <c r="I108" s="85" t="str">
        <f t="shared" si="16"/>
        <v>0942</v>
      </c>
      <c r="J108" s="122">
        <v>534</v>
      </c>
      <c r="K108" s="122">
        <v>551</v>
      </c>
      <c r="L108" s="122">
        <v>551</v>
      </c>
      <c r="M108" s="89"/>
      <c r="O108" t="str">
        <f t="shared" si="17"/>
        <v>329</v>
      </c>
      <c r="P108" t="str">
        <f t="shared" si="18"/>
        <v>32</v>
      </c>
      <c r="Q108" t="str">
        <f t="shared" si="19"/>
        <v>11</v>
      </c>
      <c r="R108" t="str">
        <f t="shared" si="20"/>
        <v>94</v>
      </c>
      <c r="V108">
        <v>4262</v>
      </c>
      <c r="W108" t="s">
        <v>108</v>
      </c>
      <c r="Y108" s="251" t="str">
        <f t="shared" si="25"/>
        <v>42</v>
      </c>
      <c r="Z108" t="str">
        <f t="shared" si="24"/>
        <v>426</v>
      </c>
      <c r="AB108" t="s">
        <v>1647</v>
      </c>
      <c r="AC108" t="s">
        <v>1648</v>
      </c>
      <c r="AD108" t="s">
        <v>5159</v>
      </c>
      <c r="AE108" t="s">
        <v>5160</v>
      </c>
      <c r="AF108" t="s">
        <v>5177</v>
      </c>
      <c r="AG108" t="s">
        <v>5185</v>
      </c>
    </row>
    <row r="109" spans="1:33">
      <c r="A109" s="85" t="str">
        <f>IF(C109="","",VLOOKUP('OPĆI DIO'!$C$3,'OPĆI DIO'!$L$6:$U$138,10,FALSE))</f>
        <v>08006</v>
      </c>
      <c r="B109" s="85" t="str">
        <f>IF(C109="","",VLOOKUP('OPĆI DIO'!$C$3,'OPĆI DIO'!$L$6:$U$138,9,FALSE))</f>
        <v>Sveučilišta i veleučilišta u Republici Hrvatskoj</v>
      </c>
      <c r="C109" s="90">
        <v>11</v>
      </c>
      <c r="D109" s="85" t="str">
        <f t="shared" si="13"/>
        <v>Opći prihodi i primici</v>
      </c>
      <c r="E109" s="90">
        <v>3299</v>
      </c>
      <c r="F109" s="85" t="str">
        <f t="shared" si="14"/>
        <v>Ostali nespomenuti rashodi poslovanja</v>
      </c>
      <c r="G109" s="123" t="s">
        <v>673</v>
      </c>
      <c r="H109" s="85" t="str">
        <f t="shared" si="15"/>
        <v>PROGRAMSKO FINANCIRANJE JAVNIH VISOKIH UČILIŠTA</v>
      </c>
      <c r="I109" s="85" t="str">
        <f t="shared" si="16"/>
        <v>0942</v>
      </c>
      <c r="J109" s="122">
        <v>33542</v>
      </c>
      <c r="K109" s="122">
        <v>34581</v>
      </c>
      <c r="L109" s="122">
        <v>34581</v>
      </c>
      <c r="M109" s="89"/>
      <c r="O109" t="str">
        <f t="shared" si="17"/>
        <v>329</v>
      </c>
      <c r="P109" t="str">
        <f t="shared" si="18"/>
        <v>32</v>
      </c>
      <c r="Q109" t="str">
        <f t="shared" si="19"/>
        <v>11</v>
      </c>
      <c r="R109" t="str">
        <f t="shared" si="20"/>
        <v>94</v>
      </c>
      <c r="V109">
        <v>4263</v>
      </c>
      <c r="W109" t="s">
        <v>165</v>
      </c>
      <c r="Y109" s="251" t="str">
        <f t="shared" si="25"/>
        <v>42</v>
      </c>
      <c r="Z109" t="str">
        <f t="shared" si="24"/>
        <v>426</v>
      </c>
      <c r="AB109" t="s">
        <v>1701</v>
      </c>
      <c r="AC109" t="s">
        <v>1702</v>
      </c>
      <c r="AD109" t="s">
        <v>5153</v>
      </c>
      <c r="AE109" t="s">
        <v>5154</v>
      </c>
      <c r="AF109" t="s">
        <v>5179</v>
      </c>
      <c r="AG109" t="s">
        <v>5180</v>
      </c>
    </row>
    <row r="110" spans="1:33">
      <c r="A110" s="85" t="str">
        <f>IF(C110="","",VLOOKUP('OPĆI DIO'!$C$3,'OPĆI DIO'!$L$6:$U$138,10,FALSE))</f>
        <v>08006</v>
      </c>
      <c r="B110" s="85" t="str">
        <f>IF(C110="","",VLOOKUP('OPĆI DIO'!$C$3,'OPĆI DIO'!$L$6:$U$138,9,FALSE))</f>
        <v>Sveučilišta i veleučilišta u Republici Hrvatskoj</v>
      </c>
      <c r="C110" s="90">
        <v>11</v>
      </c>
      <c r="D110" s="85" t="str">
        <f t="shared" si="13"/>
        <v>Opći prihodi i primici</v>
      </c>
      <c r="E110" s="90">
        <v>3431</v>
      </c>
      <c r="F110" s="85" t="str">
        <f t="shared" si="14"/>
        <v>Bankarske usluge i usluge platnog prometa</v>
      </c>
      <c r="G110" s="123" t="s">
        <v>673</v>
      </c>
      <c r="H110" s="85" t="str">
        <f t="shared" si="15"/>
        <v>PROGRAMSKO FINANCIRANJE JAVNIH VISOKIH UČILIŠTA</v>
      </c>
      <c r="I110" s="85" t="str">
        <f t="shared" si="16"/>
        <v>0942</v>
      </c>
      <c r="J110" s="122">
        <v>2783</v>
      </c>
      <c r="K110" s="122">
        <v>2783</v>
      </c>
      <c r="L110" s="122">
        <v>2783</v>
      </c>
      <c r="M110" s="89"/>
      <c r="O110" t="str">
        <f t="shared" si="17"/>
        <v>343</v>
      </c>
      <c r="P110" t="str">
        <f t="shared" si="18"/>
        <v>34</v>
      </c>
      <c r="Q110" t="str">
        <f t="shared" si="19"/>
        <v>11</v>
      </c>
      <c r="R110" t="str">
        <f t="shared" si="20"/>
        <v>94</v>
      </c>
      <c r="V110">
        <v>4264</v>
      </c>
      <c r="W110" t="s">
        <v>120</v>
      </c>
      <c r="Y110" s="251" t="str">
        <f t="shared" si="25"/>
        <v>42</v>
      </c>
      <c r="Z110" t="str">
        <f t="shared" si="24"/>
        <v>426</v>
      </c>
      <c r="AB110" t="s">
        <v>1947</v>
      </c>
      <c r="AC110" t="s">
        <v>1948</v>
      </c>
      <c r="AD110" t="s">
        <v>5155</v>
      </c>
      <c r="AE110" t="s">
        <v>5156</v>
      </c>
      <c r="AF110" t="s">
        <v>5177</v>
      </c>
      <c r="AG110" t="s">
        <v>5187</v>
      </c>
    </row>
    <row r="111" spans="1:33">
      <c r="A111" s="85" t="str">
        <f>IF(C111="","",VLOOKUP('OPĆI DIO'!$C$3,'OPĆI DIO'!$L$6:$U$138,10,FALSE))</f>
        <v>08006</v>
      </c>
      <c r="B111" s="85" t="str">
        <f>IF(C111="","",VLOOKUP('OPĆI DIO'!$C$3,'OPĆI DIO'!$L$6:$U$138,9,FALSE))</f>
        <v>Sveučilišta i veleučilišta u Republici Hrvatskoj</v>
      </c>
      <c r="C111" s="90">
        <v>11</v>
      </c>
      <c r="D111" s="85" t="str">
        <f t="shared" si="13"/>
        <v>Opći prihodi i primici</v>
      </c>
      <c r="E111" s="90">
        <v>3432</v>
      </c>
      <c r="F111" s="85" t="str">
        <f t="shared" si="14"/>
        <v>Negativne tečajne razlike i razlike zbog primjene valutne kl</v>
      </c>
      <c r="G111" s="123" t="s">
        <v>673</v>
      </c>
      <c r="H111" s="85" t="str">
        <f t="shared" si="15"/>
        <v>PROGRAMSKO FINANCIRANJE JAVNIH VISOKIH UČILIŠTA</v>
      </c>
      <c r="I111" s="85" t="str">
        <f t="shared" si="16"/>
        <v>0942</v>
      </c>
      <c r="J111" s="122">
        <v>222</v>
      </c>
      <c r="K111" s="122">
        <v>222</v>
      </c>
      <c r="L111" s="122">
        <v>222</v>
      </c>
      <c r="M111" s="89"/>
      <c r="O111" t="str">
        <f t="shared" si="17"/>
        <v>343</v>
      </c>
      <c r="P111" t="str">
        <f t="shared" si="18"/>
        <v>34</v>
      </c>
      <c r="Q111" t="str">
        <f t="shared" si="19"/>
        <v>11</v>
      </c>
      <c r="R111" t="str">
        <f t="shared" si="20"/>
        <v>94</v>
      </c>
      <c r="V111">
        <v>4312</v>
      </c>
      <c r="W111" t="s">
        <v>122</v>
      </c>
      <c r="Y111" s="251" t="str">
        <f t="shared" si="25"/>
        <v>43</v>
      </c>
      <c r="Z111" t="str">
        <f t="shared" si="24"/>
        <v>431</v>
      </c>
      <c r="AB111" t="s">
        <v>1949</v>
      </c>
      <c r="AC111" t="s">
        <v>1950</v>
      </c>
      <c r="AD111" t="s">
        <v>5155</v>
      </c>
      <c r="AE111" t="s">
        <v>5156</v>
      </c>
      <c r="AF111" t="s">
        <v>5177</v>
      </c>
      <c r="AG111" t="s">
        <v>5187</v>
      </c>
    </row>
    <row r="112" spans="1:33">
      <c r="A112" s="85" t="str">
        <f>IF(C112="","",VLOOKUP('OPĆI DIO'!$C$3,'OPĆI DIO'!$L$6:$U$138,10,FALSE))</f>
        <v>08006</v>
      </c>
      <c r="B112" s="85" t="str">
        <f>IF(C112="","",VLOOKUP('OPĆI DIO'!$C$3,'OPĆI DIO'!$L$6:$U$138,9,FALSE))</f>
        <v>Sveučilišta i veleučilišta u Republici Hrvatskoj</v>
      </c>
      <c r="C112" s="90">
        <v>11</v>
      </c>
      <c r="D112" s="85" t="str">
        <f t="shared" si="13"/>
        <v>Opći prihodi i primici</v>
      </c>
      <c r="E112" s="90">
        <v>3433</v>
      </c>
      <c r="F112" s="85" t="str">
        <f t="shared" si="14"/>
        <v>Zatezne kamate</v>
      </c>
      <c r="G112" s="123" t="s">
        <v>673</v>
      </c>
      <c r="H112" s="85" t="str">
        <f t="shared" si="15"/>
        <v>PROGRAMSKO FINANCIRANJE JAVNIH VISOKIH UČILIŠTA</v>
      </c>
      <c r="I112" s="85" t="str">
        <f t="shared" si="16"/>
        <v>0942</v>
      </c>
      <c r="J112" s="122">
        <v>644</v>
      </c>
      <c r="K112" s="122">
        <v>644</v>
      </c>
      <c r="L112" s="122">
        <v>644</v>
      </c>
      <c r="M112" s="89"/>
      <c r="O112" t="str">
        <f t="shared" si="17"/>
        <v>343</v>
      </c>
      <c r="P112" t="str">
        <f t="shared" si="18"/>
        <v>34</v>
      </c>
      <c r="Q112" t="str">
        <f t="shared" si="19"/>
        <v>11</v>
      </c>
      <c r="R112" t="str">
        <f t="shared" si="20"/>
        <v>94</v>
      </c>
      <c r="V112">
        <v>4411</v>
      </c>
      <c r="W112" t="s">
        <v>166</v>
      </c>
      <c r="Y112" s="251" t="str">
        <f t="shared" si="25"/>
        <v>44</v>
      </c>
      <c r="Z112" t="str">
        <f t="shared" si="24"/>
        <v>441</v>
      </c>
      <c r="AB112" t="s">
        <v>1951</v>
      </c>
      <c r="AC112" t="s">
        <v>1952</v>
      </c>
      <c r="AD112" t="s">
        <v>5155</v>
      </c>
      <c r="AE112" t="s">
        <v>5156</v>
      </c>
      <c r="AF112" t="s">
        <v>5177</v>
      </c>
      <c r="AG112" t="s">
        <v>5187</v>
      </c>
    </row>
    <row r="113" spans="1:33">
      <c r="A113" s="85" t="str">
        <f>IF(C113="","",VLOOKUP('OPĆI DIO'!$C$3,'OPĆI DIO'!$L$6:$U$138,10,FALSE))</f>
        <v>08006</v>
      </c>
      <c r="B113" s="85" t="str">
        <f>IF(C113="","",VLOOKUP('OPĆI DIO'!$C$3,'OPĆI DIO'!$L$6:$U$138,9,FALSE))</f>
        <v>Sveučilišta i veleučilišta u Republici Hrvatskoj</v>
      </c>
      <c r="C113" s="90">
        <v>11</v>
      </c>
      <c r="D113" s="85" t="str">
        <f t="shared" si="13"/>
        <v>Opći prihodi i primici</v>
      </c>
      <c r="E113" s="90">
        <v>3721</v>
      </c>
      <c r="F113" s="85" t="str">
        <f t="shared" si="14"/>
        <v>Naknade građanima i kućanstvima u novcu</v>
      </c>
      <c r="G113" s="123" t="s">
        <v>673</v>
      </c>
      <c r="H113" s="85" t="str">
        <f t="shared" si="15"/>
        <v>PROGRAMSKO FINANCIRANJE JAVNIH VISOKIH UČILIŠTA</v>
      </c>
      <c r="I113" s="85" t="str">
        <f t="shared" si="16"/>
        <v>0942</v>
      </c>
      <c r="J113" s="122">
        <v>11026</v>
      </c>
      <c r="K113" s="122">
        <v>11026</v>
      </c>
      <c r="L113" s="122">
        <v>11026</v>
      </c>
      <c r="M113" s="89"/>
      <c r="O113" t="str">
        <f t="shared" si="17"/>
        <v>372</v>
      </c>
      <c r="P113" t="str">
        <f t="shared" si="18"/>
        <v>37</v>
      </c>
      <c r="Q113" t="str">
        <f t="shared" si="19"/>
        <v>11</v>
      </c>
      <c r="R113" t="str">
        <f t="shared" si="20"/>
        <v>94</v>
      </c>
      <c r="V113">
        <v>4511</v>
      </c>
      <c r="W113" t="s">
        <v>121</v>
      </c>
      <c r="Y113" s="251" t="str">
        <f t="shared" si="25"/>
        <v>45</v>
      </c>
      <c r="Z113" t="str">
        <f t="shared" si="24"/>
        <v>451</v>
      </c>
      <c r="AB113" t="s">
        <v>1649</v>
      </c>
      <c r="AC113" t="s">
        <v>1650</v>
      </c>
      <c r="AD113" t="s">
        <v>5155</v>
      </c>
      <c r="AE113" t="s">
        <v>5156</v>
      </c>
      <c r="AF113" t="s">
        <v>5177</v>
      </c>
      <c r="AG113" t="s">
        <v>5187</v>
      </c>
    </row>
    <row r="114" spans="1:33">
      <c r="A114" s="85" t="str">
        <f>IF(C114="","",VLOOKUP('OPĆI DIO'!$C$3,'OPĆI DIO'!$L$6:$U$138,10,FALSE))</f>
        <v>08006</v>
      </c>
      <c r="B114" s="85" t="str">
        <f>IF(C114="","",VLOOKUP('OPĆI DIO'!$C$3,'OPĆI DIO'!$L$6:$U$138,9,FALSE))</f>
        <v>Sveučilišta i veleučilišta u Republici Hrvatskoj</v>
      </c>
      <c r="C114" s="90">
        <v>11</v>
      </c>
      <c r="D114" s="85" t="str">
        <f t="shared" si="13"/>
        <v>Opći prihodi i primici</v>
      </c>
      <c r="E114" s="90">
        <v>4221</v>
      </c>
      <c r="F114" s="85" t="str">
        <f t="shared" si="14"/>
        <v>Uredska oprema i namještaj</v>
      </c>
      <c r="G114" s="123" t="s">
        <v>673</v>
      </c>
      <c r="H114" s="85" t="str">
        <f t="shared" si="15"/>
        <v>PROGRAMSKO FINANCIRANJE JAVNIH VISOKIH UČILIŠTA</v>
      </c>
      <c r="I114" s="85" t="str">
        <f t="shared" si="16"/>
        <v>0942</v>
      </c>
      <c r="J114" s="122">
        <v>14621</v>
      </c>
      <c r="K114" s="122">
        <v>14621</v>
      </c>
      <c r="L114" s="122">
        <v>14621</v>
      </c>
      <c r="M114" s="89"/>
      <c r="O114" t="str">
        <f t="shared" si="17"/>
        <v>422</v>
      </c>
      <c r="P114" t="str">
        <f t="shared" si="18"/>
        <v>42</v>
      </c>
      <c r="Q114" t="str">
        <f t="shared" si="19"/>
        <v>11</v>
      </c>
      <c r="R114" t="str">
        <f t="shared" si="20"/>
        <v>94</v>
      </c>
      <c r="V114">
        <v>4521</v>
      </c>
      <c r="W114" t="s">
        <v>140</v>
      </c>
      <c r="Y114" s="251" t="str">
        <f t="shared" si="25"/>
        <v>45</v>
      </c>
      <c r="Z114" t="str">
        <f t="shared" si="24"/>
        <v>452</v>
      </c>
      <c r="AB114" t="s">
        <v>1709</v>
      </c>
      <c r="AC114" t="s">
        <v>1953</v>
      </c>
      <c r="AD114" t="s">
        <v>5155</v>
      </c>
      <c r="AE114" t="s">
        <v>5156</v>
      </c>
      <c r="AF114" t="s">
        <v>5177</v>
      </c>
      <c r="AG114" t="s">
        <v>5187</v>
      </c>
    </row>
    <row r="115" spans="1:33">
      <c r="A115" s="85" t="str">
        <f>IF(C115="","",VLOOKUP('OPĆI DIO'!$C$3,'OPĆI DIO'!$L$6:$U$138,10,FALSE))</f>
        <v>08006</v>
      </c>
      <c r="B115" s="85" t="str">
        <f>IF(C115="","",VLOOKUP('OPĆI DIO'!$C$3,'OPĆI DIO'!$L$6:$U$138,9,FALSE))</f>
        <v>Sveučilišta i veleučilišta u Republici Hrvatskoj</v>
      </c>
      <c r="C115" s="90">
        <v>11</v>
      </c>
      <c r="D115" s="85" t="str">
        <f t="shared" si="13"/>
        <v>Opći prihodi i primici</v>
      </c>
      <c r="E115" s="90">
        <v>4222</v>
      </c>
      <c r="F115" s="85" t="str">
        <f t="shared" si="14"/>
        <v>Komunikacijska oprema</v>
      </c>
      <c r="G115" s="123" t="s">
        <v>673</v>
      </c>
      <c r="H115" s="85" t="str">
        <f t="shared" si="15"/>
        <v>PROGRAMSKO FINANCIRANJE JAVNIH VISOKIH UČILIŠTA</v>
      </c>
      <c r="I115" s="85" t="str">
        <f t="shared" si="16"/>
        <v>0942</v>
      </c>
      <c r="J115" s="122">
        <v>3894</v>
      </c>
      <c r="K115" s="122">
        <v>3984</v>
      </c>
      <c r="L115" s="122">
        <v>3984</v>
      </c>
      <c r="M115" s="89"/>
      <c r="O115" t="str">
        <f t="shared" si="17"/>
        <v>422</v>
      </c>
      <c r="P115" t="str">
        <f t="shared" si="18"/>
        <v>42</v>
      </c>
      <c r="Q115" t="str">
        <f t="shared" si="19"/>
        <v>11</v>
      </c>
      <c r="R115" t="str">
        <f t="shared" si="20"/>
        <v>94</v>
      </c>
      <c r="V115">
        <v>4531</v>
      </c>
      <c r="W115" t="s">
        <v>183</v>
      </c>
      <c r="Y115" s="251" t="str">
        <f t="shared" si="25"/>
        <v>45</v>
      </c>
      <c r="Z115" t="str">
        <f t="shared" si="24"/>
        <v>453</v>
      </c>
      <c r="AB115" t="s">
        <v>1954</v>
      </c>
      <c r="AC115" t="s">
        <v>1955</v>
      </c>
      <c r="AD115" t="s">
        <v>5155</v>
      </c>
      <c r="AE115" t="s">
        <v>5156</v>
      </c>
      <c r="AF115" t="s">
        <v>5177</v>
      </c>
      <c r="AG115" t="s">
        <v>5187</v>
      </c>
    </row>
    <row r="116" spans="1:33">
      <c r="A116" s="85" t="str">
        <f>IF(C116="","",VLOOKUP('OPĆI DIO'!$C$3,'OPĆI DIO'!$L$6:$U$138,10,FALSE))</f>
        <v>08006</v>
      </c>
      <c r="B116" s="85" t="str">
        <f>IF(C116="","",VLOOKUP('OPĆI DIO'!$C$3,'OPĆI DIO'!$L$6:$U$138,9,FALSE))</f>
        <v>Sveučilišta i veleučilišta u Republici Hrvatskoj</v>
      </c>
      <c r="C116" s="90">
        <v>52</v>
      </c>
      <c r="D116" s="85" t="str">
        <f t="shared" si="13"/>
        <v>Ostale pomoći</v>
      </c>
      <c r="E116" s="90">
        <v>3111</v>
      </c>
      <c r="F116" s="85" t="str">
        <f t="shared" si="14"/>
        <v>Plaće za redovan rad</v>
      </c>
      <c r="G116" s="123" t="s">
        <v>1796</v>
      </c>
      <c r="H116" s="85" t="str">
        <f t="shared" si="15"/>
        <v>PROGRAM DOKTORANADA I POSLIJEDOKTORANADA HRVATSKE ZAKLADE ZA ZNANOST</v>
      </c>
      <c r="I116" s="85" t="str">
        <f t="shared" si="16"/>
        <v>0150</v>
      </c>
      <c r="J116" s="122">
        <v>75087</v>
      </c>
      <c r="K116" s="122">
        <v>46013</v>
      </c>
      <c r="L116" s="122">
        <v>17924</v>
      </c>
      <c r="M116" s="89"/>
      <c r="O116" t="str">
        <f t="shared" si="17"/>
        <v>311</v>
      </c>
      <c r="P116" t="str">
        <f t="shared" si="18"/>
        <v>31</v>
      </c>
      <c r="Q116" t="str">
        <f t="shared" si="19"/>
        <v>52</v>
      </c>
      <c r="R116" t="str">
        <f t="shared" si="20"/>
        <v>15</v>
      </c>
      <c r="V116">
        <v>4541</v>
      </c>
      <c r="W116" t="s">
        <v>135</v>
      </c>
      <c r="Y116" s="251" t="str">
        <f t="shared" si="25"/>
        <v>45</v>
      </c>
      <c r="Z116" t="str">
        <f t="shared" si="24"/>
        <v>454</v>
      </c>
      <c r="AB116" t="s">
        <v>3474</v>
      </c>
      <c r="AC116" t="s">
        <v>3475</v>
      </c>
      <c r="AD116" t="s">
        <v>5153</v>
      </c>
      <c r="AE116" t="s">
        <v>5154</v>
      </c>
      <c r="AF116" t="s">
        <v>5179</v>
      </c>
      <c r="AG116" t="s">
        <v>5180</v>
      </c>
    </row>
    <row r="117" spans="1:33">
      <c r="A117" s="85" t="str">
        <f>IF(C117="","",VLOOKUP('OPĆI DIO'!$C$3,'OPĆI DIO'!$L$6:$U$138,10,FALSE))</f>
        <v>08006</v>
      </c>
      <c r="B117" s="85" t="str">
        <f>IF(C117="","",VLOOKUP('OPĆI DIO'!$C$3,'OPĆI DIO'!$L$6:$U$138,9,FALSE))</f>
        <v>Sveučilišta i veleučilišta u Republici Hrvatskoj</v>
      </c>
      <c r="C117" s="90">
        <v>52</v>
      </c>
      <c r="D117" s="85" t="str">
        <f t="shared" si="13"/>
        <v>Ostale pomoći</v>
      </c>
      <c r="E117" s="90">
        <v>3121</v>
      </c>
      <c r="F117" s="85" t="str">
        <f t="shared" si="14"/>
        <v>Ostali rashodi za zaposlene</v>
      </c>
      <c r="G117" s="123" t="s">
        <v>1796</v>
      </c>
      <c r="H117" s="85" t="str">
        <f t="shared" si="15"/>
        <v>PROGRAM DOKTORANADA I POSLIJEDOKTORANADA HRVATSKE ZAKLADE ZA ZNANOST</v>
      </c>
      <c r="I117" s="85" t="str">
        <f t="shared" si="16"/>
        <v>0150</v>
      </c>
      <c r="J117" s="122">
        <v>1745</v>
      </c>
      <c r="K117" s="122">
        <v>1069</v>
      </c>
      <c r="L117" s="122">
        <v>417</v>
      </c>
      <c r="M117" s="89"/>
      <c r="O117" t="str">
        <f t="shared" si="17"/>
        <v>312</v>
      </c>
      <c r="P117" t="str">
        <f t="shared" si="18"/>
        <v>31</v>
      </c>
      <c r="Q117" t="str">
        <f t="shared" si="19"/>
        <v>52</v>
      </c>
      <c r="R117" t="str">
        <f t="shared" si="20"/>
        <v>15</v>
      </c>
      <c r="V117">
        <v>5121</v>
      </c>
      <c r="W117" t="s">
        <v>191</v>
      </c>
      <c r="Y117" s="251" t="str">
        <f t="shared" si="25"/>
        <v>51</v>
      </c>
      <c r="Z117" t="str">
        <f t="shared" si="24"/>
        <v>512</v>
      </c>
      <c r="AB117" t="s">
        <v>1956</v>
      </c>
      <c r="AC117" t="s">
        <v>1957</v>
      </c>
      <c r="AD117" t="s">
        <v>5151</v>
      </c>
      <c r="AE117" t="s">
        <v>5152</v>
      </c>
      <c r="AF117" t="s">
        <v>5177</v>
      </c>
      <c r="AG117" t="s">
        <v>5184</v>
      </c>
    </row>
    <row r="118" spans="1:33">
      <c r="A118" s="85" t="str">
        <f>IF(C118="","",VLOOKUP('OPĆI DIO'!$C$3,'OPĆI DIO'!$L$6:$U$138,10,FALSE))</f>
        <v>08006</v>
      </c>
      <c r="B118" s="85" t="str">
        <f>IF(C118="","",VLOOKUP('OPĆI DIO'!$C$3,'OPĆI DIO'!$L$6:$U$138,9,FALSE))</f>
        <v>Sveučilišta i veleučilišta u Republici Hrvatskoj</v>
      </c>
      <c r="C118" s="90">
        <v>52</v>
      </c>
      <c r="D118" s="85" t="str">
        <f t="shared" si="13"/>
        <v>Ostale pomoći</v>
      </c>
      <c r="E118" s="90">
        <v>3132</v>
      </c>
      <c r="F118" s="85" t="str">
        <f t="shared" si="14"/>
        <v>Doprinosi za obvezno zdravstveno osiguranje</v>
      </c>
      <c r="G118" s="123" t="s">
        <v>1796</v>
      </c>
      <c r="H118" s="85" t="str">
        <f t="shared" si="15"/>
        <v>PROGRAM DOKTORANADA I POSLIJEDOKTORANADA HRVATSKE ZAKLADE ZA ZNANOST</v>
      </c>
      <c r="I118" s="85" t="str">
        <f t="shared" si="16"/>
        <v>0150</v>
      </c>
      <c r="J118" s="122">
        <v>12389</v>
      </c>
      <c r="K118" s="122">
        <v>7592</v>
      </c>
      <c r="L118" s="122">
        <v>2958</v>
      </c>
      <c r="M118" s="89"/>
      <c r="O118" t="str">
        <f t="shared" si="17"/>
        <v>313</v>
      </c>
      <c r="P118" t="str">
        <f t="shared" si="18"/>
        <v>31</v>
      </c>
      <c r="Q118" t="str">
        <f t="shared" si="19"/>
        <v>52</v>
      </c>
      <c r="R118" t="str">
        <f t="shared" si="20"/>
        <v>15</v>
      </c>
      <c r="V118">
        <v>5443</v>
      </c>
      <c r="W118" t="s">
        <v>167</v>
      </c>
      <c r="Y118" s="251" t="str">
        <f t="shared" si="25"/>
        <v>54</v>
      </c>
      <c r="Z118" t="str">
        <f t="shared" si="24"/>
        <v>544</v>
      </c>
      <c r="AB118" t="s">
        <v>1651</v>
      </c>
      <c r="AC118" t="s">
        <v>1652</v>
      </c>
      <c r="AD118" t="s">
        <v>5155</v>
      </c>
      <c r="AE118" t="s">
        <v>5156</v>
      </c>
      <c r="AF118" t="s">
        <v>5177</v>
      </c>
      <c r="AG118" t="s">
        <v>5187</v>
      </c>
    </row>
    <row r="119" spans="1:33">
      <c r="A119" s="85" t="str">
        <f>IF(C119="","",VLOOKUP('OPĆI DIO'!$C$3,'OPĆI DIO'!$L$6:$U$138,10,FALSE))</f>
        <v>08006</v>
      </c>
      <c r="B119" s="85" t="str">
        <f>IF(C119="","",VLOOKUP('OPĆI DIO'!$C$3,'OPĆI DIO'!$L$6:$U$138,9,FALSE))</f>
        <v>Sveučilišta i veleučilišta u Republici Hrvatskoj</v>
      </c>
      <c r="C119" s="90">
        <v>52</v>
      </c>
      <c r="D119" s="85" t="str">
        <f t="shared" si="13"/>
        <v>Ostale pomoći</v>
      </c>
      <c r="E119" s="90">
        <v>3212</v>
      </c>
      <c r="F119" s="85" t="str">
        <f t="shared" si="14"/>
        <v>Naknade za prijevoz, za rad na terenu i odvojeni život</v>
      </c>
      <c r="G119" s="123" t="s">
        <v>1796</v>
      </c>
      <c r="H119" s="85" t="str">
        <f t="shared" si="15"/>
        <v>PROGRAM DOKTORANADA I POSLIJEDOKTORANADA HRVATSKE ZAKLADE ZA ZNANOST</v>
      </c>
      <c r="I119" s="85" t="str">
        <f t="shared" si="16"/>
        <v>0150</v>
      </c>
      <c r="J119" s="122">
        <v>3055</v>
      </c>
      <c r="K119" s="122">
        <v>1873</v>
      </c>
      <c r="L119" s="122">
        <v>729</v>
      </c>
      <c r="M119" s="89"/>
      <c r="O119" t="str">
        <f t="shared" si="17"/>
        <v>321</v>
      </c>
      <c r="P119" t="str">
        <f t="shared" si="18"/>
        <v>32</v>
      </c>
      <c r="Q119" t="str">
        <f t="shared" si="19"/>
        <v>52</v>
      </c>
      <c r="R119" t="str">
        <f t="shared" si="20"/>
        <v>15</v>
      </c>
      <c r="V119">
        <v>5121</v>
      </c>
      <c r="W119" t="s">
        <v>640</v>
      </c>
      <c r="Y119" s="251" t="str">
        <f t="shared" si="25"/>
        <v>51</v>
      </c>
      <c r="Z119" t="str">
        <f t="shared" ref="Z119:Z129" si="26">LEFT(V119,3)</f>
        <v>512</v>
      </c>
      <c r="AB119" t="s">
        <v>1958</v>
      </c>
      <c r="AC119" t="s">
        <v>1959</v>
      </c>
      <c r="AD119" t="s">
        <v>5155</v>
      </c>
      <c r="AE119" t="s">
        <v>5156</v>
      </c>
      <c r="AF119" t="s">
        <v>5177</v>
      </c>
      <c r="AG119" t="s">
        <v>5187</v>
      </c>
    </row>
    <row r="120" spans="1:33">
      <c r="A120" s="85" t="str">
        <f>IF(C120="","",VLOOKUP('OPĆI DIO'!$C$3,'OPĆI DIO'!$L$6:$U$138,10,FALSE))</f>
        <v>08006</v>
      </c>
      <c r="B120" s="85" t="str">
        <f>IF(C120="","",VLOOKUP('OPĆI DIO'!$C$3,'OPĆI DIO'!$L$6:$U$138,9,FALSE))</f>
        <v>Sveučilišta i veleučilišta u Republici Hrvatskoj</v>
      </c>
      <c r="C120" s="90">
        <v>581</v>
      </c>
      <c r="D120" s="85" t="str">
        <f t="shared" si="13"/>
        <v>Mehanizam za oporavak i otpornost</v>
      </c>
      <c r="E120" s="90">
        <v>3237</v>
      </c>
      <c r="F120" s="85" t="str">
        <f t="shared" si="14"/>
        <v>Intelektualne i osobne usluge</v>
      </c>
      <c r="G120" s="123" t="s">
        <v>2004</v>
      </c>
      <c r="H120" s="85" t="str">
        <f t="shared" si="15"/>
        <v>OBNOVA ZGRADA OŠTEĆENIH U POTRESU S ENERGETSKOM OBNOVOM - NPOO (C6.1.R1-I2)</v>
      </c>
      <c r="I120" s="85" t="str">
        <f t="shared" si="16"/>
        <v>0942</v>
      </c>
      <c r="J120" s="122">
        <v>264178</v>
      </c>
      <c r="K120" s="122">
        <v>0</v>
      </c>
      <c r="L120" s="122">
        <v>0</v>
      </c>
      <c r="M120" s="89"/>
      <c r="O120" t="str">
        <f t="shared" si="17"/>
        <v>323</v>
      </c>
      <c r="P120" t="str">
        <f t="shared" si="18"/>
        <v>32</v>
      </c>
      <c r="Q120" t="str">
        <f t="shared" si="19"/>
        <v>581</v>
      </c>
      <c r="R120" t="str">
        <f t="shared" si="20"/>
        <v>94</v>
      </c>
      <c r="V120">
        <v>5122</v>
      </c>
      <c r="W120" t="s">
        <v>641</v>
      </c>
      <c r="Y120" s="251" t="str">
        <f t="shared" si="25"/>
        <v>51</v>
      </c>
      <c r="Z120" t="str">
        <f t="shared" si="26"/>
        <v>512</v>
      </c>
      <c r="AB120" t="s">
        <v>1960</v>
      </c>
      <c r="AC120" t="s">
        <v>1961</v>
      </c>
      <c r="AD120" t="s">
        <v>5153</v>
      </c>
      <c r="AE120" t="s">
        <v>5154</v>
      </c>
      <c r="AF120" t="s">
        <v>5179</v>
      </c>
      <c r="AG120" t="s">
        <v>5180</v>
      </c>
    </row>
    <row r="121" spans="1:33">
      <c r="A121" s="85" t="str">
        <f>IF(C121="","",VLOOKUP('OPĆI DIO'!$C$3,'OPĆI DIO'!$L$6:$U$138,10,FALSE))</f>
        <v>08006</v>
      </c>
      <c r="B121" s="85" t="str">
        <f>IF(C121="","",VLOOKUP('OPĆI DIO'!$C$3,'OPĆI DIO'!$L$6:$U$138,9,FALSE))</f>
        <v>Sveučilišta i veleučilišta u Republici Hrvatskoj</v>
      </c>
      <c r="C121" s="90">
        <v>581</v>
      </c>
      <c r="D121" s="85" t="str">
        <f t="shared" si="13"/>
        <v>Mehanizam za oporavak i otpornost</v>
      </c>
      <c r="E121" s="90">
        <v>3232</v>
      </c>
      <c r="F121" s="85" t="str">
        <f t="shared" si="14"/>
        <v>Usluge tekućeg i investicijskog održavanja</v>
      </c>
      <c r="G121" s="123" t="s">
        <v>2004</v>
      </c>
      <c r="H121" s="85" t="str">
        <f t="shared" si="15"/>
        <v>OBNOVA ZGRADA OŠTEĆENIH U POTRESU S ENERGETSKOM OBNOVOM - NPOO (C6.1.R1-I2)</v>
      </c>
      <c r="I121" s="85" t="str">
        <f t="shared" si="16"/>
        <v>0942</v>
      </c>
      <c r="J121" s="122">
        <v>3007735</v>
      </c>
      <c r="K121" s="122">
        <v>0</v>
      </c>
      <c r="L121" s="122">
        <v>0</v>
      </c>
      <c r="M121" s="89"/>
      <c r="O121" t="str">
        <f t="shared" si="17"/>
        <v>323</v>
      </c>
      <c r="P121" t="str">
        <f t="shared" si="18"/>
        <v>32</v>
      </c>
      <c r="Q121" t="str">
        <f t="shared" si="19"/>
        <v>581</v>
      </c>
      <c r="R121" t="str">
        <f t="shared" si="20"/>
        <v>94</v>
      </c>
      <c r="V121">
        <v>5141</v>
      </c>
      <c r="W121" t="s">
        <v>642</v>
      </c>
      <c r="Y121" s="251" t="str">
        <f t="shared" si="25"/>
        <v>51</v>
      </c>
      <c r="Z121" t="str">
        <f t="shared" si="26"/>
        <v>514</v>
      </c>
      <c r="AB121" t="s">
        <v>1978</v>
      </c>
      <c r="AC121" t="s">
        <v>1979</v>
      </c>
      <c r="AD121" t="s">
        <v>5151</v>
      </c>
      <c r="AE121" t="s">
        <v>5152</v>
      </c>
      <c r="AF121" t="s">
        <v>5177</v>
      </c>
      <c r="AG121" t="s">
        <v>5184</v>
      </c>
    </row>
    <row r="122" spans="1:33">
      <c r="A122" s="85" t="str">
        <f>IF(C122="","",VLOOKUP('OPĆI DIO'!$C$3,'OPĆI DIO'!$L$6:$U$138,10,FALSE))</f>
        <v>08006</v>
      </c>
      <c r="B122" s="85" t="str">
        <f>IF(C122="","",VLOOKUP('OPĆI DIO'!$C$3,'OPĆI DIO'!$L$6:$U$138,9,FALSE))</f>
        <v>Sveučilišta i veleučilišta u Republici Hrvatskoj</v>
      </c>
      <c r="C122" s="90">
        <v>581</v>
      </c>
      <c r="D122" s="85" t="str">
        <f t="shared" si="13"/>
        <v>Mehanizam za oporavak i otpornost</v>
      </c>
      <c r="E122" s="90">
        <v>3233</v>
      </c>
      <c r="F122" s="85" t="str">
        <f t="shared" si="14"/>
        <v>Usluge promidžbe i informiranja</v>
      </c>
      <c r="G122" s="123" t="s">
        <v>2003</v>
      </c>
      <c r="H122" s="85" t="str">
        <f t="shared" si="15"/>
        <v>OBNOVA INFRASTRUKTURE I OPREME U PODRUČJU OBRAZOVANJA OŠTEĆENE POTRESOM</v>
      </c>
      <c r="I122" s="85" t="str">
        <f t="shared" si="16"/>
        <v>0942</v>
      </c>
      <c r="J122" s="122">
        <v>26744</v>
      </c>
      <c r="K122" s="122">
        <v>0</v>
      </c>
      <c r="L122" s="122">
        <v>0</v>
      </c>
      <c r="M122" s="89"/>
      <c r="O122" t="str">
        <f t="shared" si="17"/>
        <v>323</v>
      </c>
      <c r="P122" t="str">
        <f t="shared" si="18"/>
        <v>32</v>
      </c>
      <c r="Q122" t="str">
        <f t="shared" si="19"/>
        <v>581</v>
      </c>
      <c r="R122" t="str">
        <f t="shared" si="20"/>
        <v>94</v>
      </c>
      <c r="V122">
        <v>5181</v>
      </c>
      <c r="W122" t="s">
        <v>643</v>
      </c>
      <c r="Y122" s="251" t="str">
        <f t="shared" si="25"/>
        <v>51</v>
      </c>
      <c r="Z122" t="str">
        <f t="shared" si="26"/>
        <v>518</v>
      </c>
      <c r="AB122" t="s">
        <v>1980</v>
      </c>
      <c r="AC122" t="s">
        <v>1981</v>
      </c>
      <c r="AD122" t="s">
        <v>5167</v>
      </c>
      <c r="AE122" t="s">
        <v>5168</v>
      </c>
      <c r="AF122" t="s">
        <v>5177</v>
      </c>
      <c r="AG122" t="s">
        <v>5188</v>
      </c>
    </row>
    <row r="123" spans="1:33">
      <c r="A123" s="85" t="str">
        <f>IF(C123="","",VLOOKUP('OPĆI DIO'!$C$3,'OPĆI DIO'!$L$6:$U$138,10,FALSE))</f>
        <v>08006</v>
      </c>
      <c r="B123" s="85" t="str">
        <f>IF(C123="","",VLOOKUP('OPĆI DIO'!$C$3,'OPĆI DIO'!$L$6:$U$138,9,FALSE))</f>
        <v>Sveučilišta i veleučilišta u Republici Hrvatskoj</v>
      </c>
      <c r="C123" s="90">
        <v>5761</v>
      </c>
      <c r="D123" s="85" t="str">
        <f t="shared" si="13"/>
        <v>Fond solidarnosti Europske unije – potres</v>
      </c>
      <c r="E123" s="90">
        <v>3237</v>
      </c>
      <c r="F123" s="85" t="str">
        <f t="shared" si="14"/>
        <v>Intelektualne i osobne usluge</v>
      </c>
      <c r="G123" s="123" t="s">
        <v>2003</v>
      </c>
      <c r="H123" s="85" t="str">
        <f t="shared" si="15"/>
        <v>OBNOVA INFRASTRUKTURE I OPREME U PODRUČJU OBRAZOVANJA OŠTEĆENE POTRESOM</v>
      </c>
      <c r="I123" s="85" t="str">
        <f t="shared" si="16"/>
        <v>0942</v>
      </c>
      <c r="J123" s="122">
        <v>134973</v>
      </c>
      <c r="K123" s="122">
        <v>0</v>
      </c>
      <c r="L123" s="122">
        <v>0</v>
      </c>
      <c r="M123" s="89"/>
      <c r="O123" t="str">
        <f t="shared" si="17"/>
        <v>323</v>
      </c>
      <c r="P123" t="str">
        <f t="shared" si="18"/>
        <v>32</v>
      </c>
      <c r="Q123" t="str">
        <f t="shared" si="19"/>
        <v>576</v>
      </c>
      <c r="R123" t="str">
        <f t="shared" si="20"/>
        <v>94</v>
      </c>
      <c r="V123">
        <v>5183</v>
      </c>
      <c r="W123" t="s">
        <v>644</v>
      </c>
      <c r="Y123" s="251" t="str">
        <f t="shared" si="25"/>
        <v>51</v>
      </c>
      <c r="Z123" t="str">
        <f t="shared" si="26"/>
        <v>518</v>
      </c>
      <c r="AB123" t="s">
        <v>1982</v>
      </c>
      <c r="AC123" t="s">
        <v>1983</v>
      </c>
      <c r="AD123" t="s">
        <v>5157</v>
      </c>
      <c r="AE123" t="s">
        <v>5158</v>
      </c>
      <c r="AF123" t="s">
        <v>5177</v>
      </c>
      <c r="AG123" t="s">
        <v>5186</v>
      </c>
    </row>
    <row r="124" spans="1:33">
      <c r="A124" s="85" t="str">
        <f>IF(C124="","",VLOOKUP('OPĆI DIO'!$C$3,'OPĆI DIO'!$L$6:$U$138,10,FALSE))</f>
        <v>08006</v>
      </c>
      <c r="B124" s="85" t="str">
        <f>IF(C124="","",VLOOKUP('OPĆI DIO'!$C$3,'OPĆI DIO'!$L$6:$U$138,9,FALSE))</f>
        <v>Sveučilišta i veleučilišta u Republici Hrvatskoj</v>
      </c>
      <c r="C124" s="90">
        <v>5761</v>
      </c>
      <c r="D124" s="85" t="str">
        <f t="shared" si="13"/>
        <v>Fond solidarnosti Europske unije – potres</v>
      </c>
      <c r="E124" s="90">
        <v>3232</v>
      </c>
      <c r="F124" s="85" t="str">
        <f t="shared" si="14"/>
        <v>Usluge tekućeg i investicijskog održavanja</v>
      </c>
      <c r="G124" s="123" t="s">
        <v>2003</v>
      </c>
      <c r="H124" s="85" t="str">
        <f t="shared" si="15"/>
        <v>OBNOVA INFRASTRUKTURE I OPREME U PODRUČJU OBRAZOVANJA OŠTEĆENE POTRESOM</v>
      </c>
      <c r="I124" s="85" t="str">
        <f t="shared" si="16"/>
        <v>0942</v>
      </c>
      <c r="J124" s="122">
        <v>2219096</v>
      </c>
      <c r="K124" s="122">
        <v>0</v>
      </c>
      <c r="L124" s="122">
        <v>0</v>
      </c>
      <c r="M124" s="89"/>
      <c r="O124" t="str">
        <f t="shared" si="17"/>
        <v>323</v>
      </c>
      <c r="P124" t="str">
        <f t="shared" si="18"/>
        <v>32</v>
      </c>
      <c r="Q124" t="str">
        <f t="shared" si="19"/>
        <v>576</v>
      </c>
      <c r="R124" t="str">
        <f t="shared" si="20"/>
        <v>94</v>
      </c>
      <c r="V124">
        <v>5422</v>
      </c>
      <c r="W124" t="s">
        <v>645</v>
      </c>
      <c r="Y124" s="251" t="str">
        <f t="shared" si="25"/>
        <v>54</v>
      </c>
      <c r="Z124" t="str">
        <f t="shared" si="26"/>
        <v>542</v>
      </c>
      <c r="AB124" t="s">
        <v>1984</v>
      </c>
      <c r="AC124" t="s">
        <v>1985</v>
      </c>
      <c r="AD124" t="s">
        <v>5163</v>
      </c>
      <c r="AE124" t="s">
        <v>5164</v>
      </c>
      <c r="AF124" t="s">
        <v>5177</v>
      </c>
      <c r="AG124" t="s">
        <v>5184</v>
      </c>
    </row>
    <row r="125" spans="1:33">
      <c r="A125" s="85" t="str">
        <f>IF(C125="","",VLOOKUP('OPĆI DIO'!$C$3,'OPĆI DIO'!$L$6:$U$138,10,FALSE))</f>
        <v>08006</v>
      </c>
      <c r="B125" s="85" t="str">
        <f>IF(C125="","",VLOOKUP('OPĆI DIO'!$C$3,'OPĆI DIO'!$L$6:$U$138,9,FALSE))</f>
        <v>Sveučilišta i veleučilišta u Republici Hrvatskoj</v>
      </c>
      <c r="C125" s="90">
        <v>5761</v>
      </c>
      <c r="D125" s="85" t="str">
        <f t="shared" si="13"/>
        <v>Fond solidarnosti Europske unije – potres</v>
      </c>
      <c r="E125" s="90">
        <v>3235</v>
      </c>
      <c r="F125" s="85" t="str">
        <f t="shared" si="14"/>
        <v>Zakupnine i najamnine</v>
      </c>
      <c r="G125" s="123" t="s">
        <v>2003</v>
      </c>
      <c r="H125" s="85" t="str">
        <f t="shared" si="15"/>
        <v>OBNOVA INFRASTRUKTURE I OPREME U PODRUČJU OBRAZOVANJA OŠTEĆENE POTRESOM</v>
      </c>
      <c r="I125" s="85" t="str">
        <f t="shared" si="16"/>
        <v>0942</v>
      </c>
      <c r="J125" s="122">
        <v>334481</v>
      </c>
      <c r="K125" s="122">
        <v>0</v>
      </c>
      <c r="L125" s="122">
        <v>0</v>
      </c>
      <c r="M125" s="89"/>
      <c r="O125" t="str">
        <f t="shared" si="17"/>
        <v>323</v>
      </c>
      <c r="P125" t="str">
        <f t="shared" si="18"/>
        <v>32</v>
      </c>
      <c r="Q125" t="str">
        <f t="shared" si="19"/>
        <v>576</v>
      </c>
      <c r="R125" t="str">
        <f t="shared" si="20"/>
        <v>94</v>
      </c>
      <c r="V125">
        <v>5431</v>
      </c>
      <c r="W125" t="s">
        <v>265</v>
      </c>
      <c r="Y125" s="251" t="str">
        <f t="shared" si="25"/>
        <v>54</v>
      </c>
      <c r="Z125" t="str">
        <f t="shared" si="26"/>
        <v>543</v>
      </c>
      <c r="AB125" t="s">
        <v>964</v>
      </c>
      <c r="AC125" t="s">
        <v>1653</v>
      </c>
      <c r="AD125" t="s">
        <v>5153</v>
      </c>
      <c r="AE125" t="s">
        <v>5154</v>
      </c>
      <c r="AF125" t="s">
        <v>5179</v>
      </c>
      <c r="AG125" t="s">
        <v>5180</v>
      </c>
    </row>
    <row r="126" spans="1:33">
      <c r="A126" s="85" t="str">
        <f>IF(C126="","",VLOOKUP('OPĆI DIO'!$C$3,'OPĆI DIO'!$L$6:$U$138,10,FALSE))</f>
        <v>08006</v>
      </c>
      <c r="B126" s="85" t="str">
        <f>IF(C126="","",VLOOKUP('OPĆI DIO'!$C$3,'OPĆI DIO'!$L$6:$U$138,9,FALSE))</f>
        <v>Sveučilišta i veleučilišta u Republici Hrvatskoj</v>
      </c>
      <c r="C126" s="90">
        <v>5761</v>
      </c>
      <c r="D126" s="85" t="str">
        <f t="shared" si="13"/>
        <v>Fond solidarnosti Europske unije – potres</v>
      </c>
      <c r="E126" s="90">
        <v>3239</v>
      </c>
      <c r="F126" s="85" t="str">
        <f t="shared" si="14"/>
        <v>Ostale usluge</v>
      </c>
      <c r="G126" s="123" t="s">
        <v>2003</v>
      </c>
      <c r="H126" s="85" t="str">
        <f t="shared" si="15"/>
        <v>OBNOVA INFRASTRUKTURE I OPREME U PODRUČJU OBRAZOVANJA OŠTEĆENE POTRESOM</v>
      </c>
      <c r="I126" s="85" t="str">
        <f t="shared" si="16"/>
        <v>0942</v>
      </c>
      <c r="J126" s="122">
        <v>39316</v>
      </c>
      <c r="K126" s="122">
        <v>0</v>
      </c>
      <c r="L126" s="122">
        <v>0</v>
      </c>
      <c r="M126" s="89"/>
      <c r="O126" t="str">
        <f t="shared" si="17"/>
        <v>323</v>
      </c>
      <c r="P126" t="str">
        <f t="shared" si="18"/>
        <v>32</v>
      </c>
      <c r="Q126" t="str">
        <f t="shared" si="19"/>
        <v>576</v>
      </c>
      <c r="R126" t="str">
        <f t="shared" si="20"/>
        <v>94</v>
      </c>
      <c r="V126">
        <v>5443</v>
      </c>
      <c r="W126" t="s">
        <v>646</v>
      </c>
      <c r="Y126" s="251" t="str">
        <f t="shared" si="25"/>
        <v>54</v>
      </c>
      <c r="Z126" t="str">
        <f t="shared" si="26"/>
        <v>544</v>
      </c>
      <c r="AB126" t="s">
        <v>1986</v>
      </c>
      <c r="AC126" t="s">
        <v>3476</v>
      </c>
      <c r="AD126" t="s">
        <v>5155</v>
      </c>
      <c r="AE126" t="s">
        <v>5156</v>
      </c>
      <c r="AF126" t="s">
        <v>5177</v>
      </c>
      <c r="AG126" t="s">
        <v>5187</v>
      </c>
    </row>
    <row r="127" spans="1:33">
      <c r="A127" s="85" t="str">
        <f>IF(C127="","",VLOOKUP('OPĆI DIO'!$C$3,'OPĆI DIO'!$L$6:$U$138,10,FALSE))</f>
        <v>08006</v>
      </c>
      <c r="B127" s="85" t="str">
        <f>IF(C127="","",VLOOKUP('OPĆI DIO'!$C$3,'OPĆI DIO'!$L$6:$U$138,9,FALSE))</f>
        <v>Sveučilišta i veleučilišta u Republici Hrvatskoj</v>
      </c>
      <c r="C127" s="90">
        <v>5762</v>
      </c>
      <c r="D127" s="85" t="str">
        <f t="shared" si="13"/>
        <v>Fond solidarnosti Europske unije – potres</v>
      </c>
      <c r="E127" s="90">
        <v>3237</v>
      </c>
      <c r="F127" s="85" t="str">
        <f t="shared" si="14"/>
        <v>Intelektualne i osobne usluge</v>
      </c>
      <c r="G127" s="123" t="s">
        <v>5296</v>
      </c>
      <c r="H127" s="85" t="str">
        <f t="shared" si="15"/>
        <v>OBNOVA INFRASTRUKTURE I OPREME U PODRUČJU OBRAZOVANJA OŠTEĆENE POTRESOM</v>
      </c>
      <c r="I127" s="85" t="str">
        <f t="shared" si="16"/>
        <v>0942</v>
      </c>
      <c r="J127" s="122">
        <v>410825</v>
      </c>
      <c r="K127" s="122">
        <v>0</v>
      </c>
      <c r="L127" s="122">
        <v>0</v>
      </c>
      <c r="M127" s="89"/>
      <c r="O127" t="str">
        <f t="shared" si="17"/>
        <v>323</v>
      </c>
      <c r="P127" t="str">
        <f t="shared" si="18"/>
        <v>32</v>
      </c>
      <c r="Q127" t="str">
        <f t="shared" si="19"/>
        <v>576</v>
      </c>
      <c r="R127" t="str">
        <f t="shared" si="20"/>
        <v>94</v>
      </c>
      <c r="V127">
        <v>5445</v>
      </c>
      <c r="W127" t="s">
        <v>647</v>
      </c>
      <c r="Y127" s="251" t="str">
        <f t="shared" si="25"/>
        <v>54</v>
      </c>
      <c r="Z127" t="str">
        <f t="shared" si="26"/>
        <v>544</v>
      </c>
      <c r="AB127" t="s">
        <v>1987</v>
      </c>
      <c r="AC127" t="s">
        <v>1988</v>
      </c>
      <c r="AD127" t="s">
        <v>5151</v>
      </c>
      <c r="AE127" t="s">
        <v>5152</v>
      </c>
      <c r="AF127" t="s">
        <v>5177</v>
      </c>
      <c r="AG127" t="s">
        <v>5184</v>
      </c>
    </row>
    <row r="128" spans="1:33">
      <c r="A128" s="85" t="str">
        <f>IF(C128="","",VLOOKUP('OPĆI DIO'!$C$3,'OPĆI DIO'!$L$6:$U$138,10,FALSE))</f>
        <v>08006</v>
      </c>
      <c r="B128" s="85" t="str">
        <f>IF(C128="","",VLOOKUP('OPĆI DIO'!$C$3,'OPĆI DIO'!$L$6:$U$138,9,FALSE))</f>
        <v>Sveučilišta i veleučilišta u Republici Hrvatskoj</v>
      </c>
      <c r="C128" s="90">
        <v>5762</v>
      </c>
      <c r="D128" s="85" t="str">
        <f t="shared" si="13"/>
        <v>Fond solidarnosti Europske unije – potres</v>
      </c>
      <c r="E128" s="90">
        <v>3232</v>
      </c>
      <c r="F128" s="85" t="str">
        <f t="shared" si="14"/>
        <v>Usluge tekućeg i investicijskog održavanja</v>
      </c>
      <c r="G128" s="123" t="s">
        <v>2003</v>
      </c>
      <c r="H128" s="85" t="str">
        <f t="shared" si="15"/>
        <v>OBNOVA INFRASTRUKTURE I OPREME U PODRUČJU OBRAZOVANJA OŠTEĆENE POTRESOM</v>
      </c>
      <c r="I128" s="85" t="str">
        <f t="shared" si="16"/>
        <v>0942</v>
      </c>
      <c r="J128" s="122">
        <v>1864695</v>
      </c>
      <c r="K128" s="122">
        <v>0</v>
      </c>
      <c r="L128" s="122">
        <v>0</v>
      </c>
      <c r="M128" s="89"/>
      <c r="O128" t="str">
        <f t="shared" si="17"/>
        <v>323</v>
      </c>
      <c r="P128" t="str">
        <f t="shared" si="18"/>
        <v>32</v>
      </c>
      <c r="Q128" t="str">
        <f t="shared" si="19"/>
        <v>576</v>
      </c>
      <c r="R128" t="str">
        <f t="shared" si="20"/>
        <v>94</v>
      </c>
      <c r="V128">
        <v>5453</v>
      </c>
      <c r="W128" t="s">
        <v>648</v>
      </c>
      <c r="Y128" s="251" t="str">
        <f t="shared" si="25"/>
        <v>54</v>
      </c>
      <c r="Z128" t="str">
        <f t="shared" si="26"/>
        <v>545</v>
      </c>
      <c r="AB128" t="s">
        <v>1989</v>
      </c>
      <c r="AC128" t="s">
        <v>3477</v>
      </c>
      <c r="AD128" t="s">
        <v>5167</v>
      </c>
      <c r="AE128" t="s">
        <v>5168</v>
      </c>
      <c r="AF128" t="s">
        <v>5177</v>
      </c>
      <c r="AG128" t="s">
        <v>5188</v>
      </c>
    </row>
    <row r="129" spans="1:33">
      <c r="A129" s="85" t="str">
        <f>IF(C129="","",VLOOKUP('OPĆI DIO'!$C$3,'OPĆI DIO'!$L$6:$U$138,10,FALSE))</f>
        <v>08006</v>
      </c>
      <c r="B129" s="85" t="str">
        <f>IF(C129="","",VLOOKUP('OPĆI DIO'!$C$3,'OPĆI DIO'!$L$6:$U$138,9,FALSE))</f>
        <v>Sveučilišta i veleučilišta u Republici Hrvatskoj</v>
      </c>
      <c r="C129" s="90">
        <v>52</v>
      </c>
      <c r="D129" s="85" t="str">
        <f t="shared" si="13"/>
        <v>Ostale pomoći</v>
      </c>
      <c r="E129" s="90">
        <v>3211</v>
      </c>
      <c r="F129" s="85" t="str">
        <f t="shared" si="14"/>
        <v>Službena putovanja</v>
      </c>
      <c r="G129" s="123" t="s">
        <v>145</v>
      </c>
      <c r="H129" s="85" t="str">
        <f t="shared" si="15"/>
        <v>REDOVNA DJELATNOST SVEUČILIŠTA U ZAGREBU (IZ EVIDENCIJSKIH PRIHODA)</v>
      </c>
      <c r="I129" s="85" t="str">
        <f t="shared" si="16"/>
        <v>0942</v>
      </c>
      <c r="J129" s="122">
        <v>13272</v>
      </c>
      <c r="K129" s="122">
        <v>13272</v>
      </c>
      <c r="L129" s="122">
        <v>13272</v>
      </c>
      <c r="M129" s="89"/>
      <c r="O129" t="str">
        <f t="shared" si="17"/>
        <v>321</v>
      </c>
      <c r="P129" t="str">
        <f t="shared" si="18"/>
        <v>32</v>
      </c>
      <c r="Q129" t="str">
        <f t="shared" si="19"/>
        <v>52</v>
      </c>
      <c r="R129" t="str">
        <f t="shared" si="20"/>
        <v>94</v>
      </c>
      <c r="V129">
        <v>5472</v>
      </c>
      <c r="W129" t="s">
        <v>649</v>
      </c>
      <c r="Y129" s="251" t="str">
        <f t="shared" si="25"/>
        <v>54</v>
      </c>
      <c r="Z129" t="str">
        <f t="shared" si="26"/>
        <v>547</v>
      </c>
      <c r="AB129" t="s">
        <v>3478</v>
      </c>
      <c r="AC129" t="s">
        <v>3479</v>
      </c>
      <c r="AD129" t="s">
        <v>5153</v>
      </c>
      <c r="AE129" t="s">
        <v>5154</v>
      </c>
      <c r="AF129" t="s">
        <v>5179</v>
      </c>
      <c r="AG129" t="s">
        <v>5180</v>
      </c>
    </row>
    <row r="130" spans="1:33">
      <c r="A130" s="85" t="str">
        <f>IF(C130="","",VLOOKUP('OPĆI DIO'!$C$3,'OPĆI DIO'!$L$6:$U$138,10,FALSE))</f>
        <v>08006</v>
      </c>
      <c r="B130" s="85" t="str">
        <f>IF(C130="","",VLOOKUP('OPĆI DIO'!$C$3,'OPĆI DIO'!$L$6:$U$138,9,FALSE))</f>
        <v>Sveučilišta i veleučilišta u Republici Hrvatskoj</v>
      </c>
      <c r="C130" s="90">
        <v>43</v>
      </c>
      <c r="D130" s="85" t="str">
        <f t="shared" si="13"/>
        <v>Ostali prihodi za posebne namjene</v>
      </c>
      <c r="E130" s="90">
        <v>4227</v>
      </c>
      <c r="F130" s="85" t="str">
        <f t="shared" si="14"/>
        <v>Uređaji, strojevi i oprema za ostale namjene</v>
      </c>
      <c r="G130" s="123" t="s">
        <v>145</v>
      </c>
      <c r="H130" s="85" t="str">
        <f t="shared" si="15"/>
        <v>REDOVNA DJELATNOST SVEUČILIŠTA U ZAGREBU (IZ EVIDENCIJSKIH PRIHODA)</v>
      </c>
      <c r="I130" s="85" t="str">
        <f t="shared" si="16"/>
        <v>0942</v>
      </c>
      <c r="J130" s="122">
        <v>10618</v>
      </c>
      <c r="K130" s="122">
        <v>0</v>
      </c>
      <c r="L130" s="122">
        <v>0</v>
      </c>
      <c r="M130" s="89"/>
      <c r="O130" t="str">
        <f t="shared" si="17"/>
        <v>422</v>
      </c>
      <c r="P130" t="str">
        <f t="shared" si="18"/>
        <v>42</v>
      </c>
      <c r="Q130" t="str">
        <f t="shared" si="19"/>
        <v>43</v>
      </c>
      <c r="R130" t="str">
        <f t="shared" si="20"/>
        <v>94</v>
      </c>
      <c r="AB130" t="s">
        <v>1990</v>
      </c>
      <c r="AC130" t="s">
        <v>1991</v>
      </c>
      <c r="AD130" t="s">
        <v>5155</v>
      </c>
      <c r="AE130" t="s">
        <v>5156</v>
      </c>
      <c r="AF130" t="s">
        <v>5177</v>
      </c>
      <c r="AG130" t="s">
        <v>5187</v>
      </c>
    </row>
    <row r="131" spans="1:33">
      <c r="A131" s="85" t="str">
        <f>IF(C131="","",VLOOKUP('OPĆI DIO'!$C$3,'OPĆI DIO'!$L$6:$U$138,10,FALSE))</f>
        <v>08006</v>
      </c>
      <c r="B131" s="85" t="str">
        <f>IF(C131="","",VLOOKUP('OPĆI DIO'!$C$3,'OPĆI DIO'!$L$6:$U$138,9,FALSE))</f>
        <v>Sveučilišta i veleučilišta u Republici Hrvatskoj</v>
      </c>
      <c r="C131" s="90">
        <v>11</v>
      </c>
      <c r="D131" s="85" t="str">
        <f t="shared" ref="D131:D194" si="27">IFERROR(VLOOKUP(C131,$S$6:$T$24,2,FALSE),"")</f>
        <v>Opći prihodi i primici</v>
      </c>
      <c r="E131" s="90">
        <v>3232</v>
      </c>
      <c r="F131" s="85" t="str">
        <f t="shared" si="14"/>
        <v>Usluge tekućeg i investicijskog održavanja</v>
      </c>
      <c r="G131" s="123" t="s">
        <v>48</v>
      </c>
      <c r="H131" s="85" t="str">
        <f t="shared" si="15"/>
        <v>REDOVNA DJELATNOST SVEUČILIŠTA U ZAGREBU</v>
      </c>
      <c r="I131" s="85" t="str">
        <f t="shared" si="16"/>
        <v>0942</v>
      </c>
      <c r="J131" s="122">
        <v>21963</v>
      </c>
      <c r="K131" s="122">
        <v>22650</v>
      </c>
      <c r="L131" s="122">
        <v>23341</v>
      </c>
      <c r="M131" s="89"/>
      <c r="O131" t="str">
        <f t="shared" si="17"/>
        <v>323</v>
      </c>
      <c r="P131" t="str">
        <f t="shared" si="18"/>
        <v>32</v>
      </c>
      <c r="Q131" t="str">
        <f t="shared" si="19"/>
        <v>11</v>
      </c>
      <c r="R131" t="str">
        <f t="shared" si="20"/>
        <v>94</v>
      </c>
      <c r="AB131" t="s">
        <v>1992</v>
      </c>
      <c r="AC131" t="s">
        <v>1993</v>
      </c>
      <c r="AD131" t="s">
        <v>5159</v>
      </c>
      <c r="AE131" t="s">
        <v>5160</v>
      </c>
      <c r="AF131" t="s">
        <v>5177</v>
      </c>
      <c r="AG131" t="s">
        <v>5185</v>
      </c>
    </row>
    <row r="132" spans="1:33">
      <c r="A132" s="85" t="str">
        <f>IF(C132="","",VLOOKUP('OPĆI DIO'!$C$3,'OPĆI DIO'!$L$6:$U$138,10,FALSE))</f>
        <v/>
      </c>
      <c r="B132" s="85" t="str">
        <f>IF(C132="","",VLOOKUP('OPĆI DIO'!$C$3,'OPĆI DIO'!$L$6:$U$138,9,FALSE))</f>
        <v/>
      </c>
      <c r="C132" s="90"/>
      <c r="D132" s="85" t="str">
        <f t="shared" si="27"/>
        <v/>
      </c>
      <c r="E132" s="90"/>
      <c r="F132" s="85" t="str">
        <f t="shared" ref="F132:F195" si="28">IFERROR(VLOOKUP(E132,$V$5:$X$129,2,FALSE),"")</f>
        <v/>
      </c>
      <c r="G132" s="123"/>
      <c r="H132" s="85" t="str">
        <f t="shared" ref="H132:H195" si="29">IFERROR(VLOOKUP(G132,$AB$6:$AC$327,2,FALSE),"")</f>
        <v/>
      </c>
      <c r="I132" s="85" t="str">
        <f t="shared" ref="I132:I195" si="30">IFERROR(VLOOKUP(G132,$AB$6:$AF$327,3,FALSE),"")</f>
        <v/>
      </c>
      <c r="J132" s="122"/>
      <c r="K132" s="122"/>
      <c r="L132" s="122"/>
      <c r="M132" s="89"/>
      <c r="O132" t="str">
        <f t="shared" ref="O132:O195" si="31">LEFT(E132,3)</f>
        <v/>
      </c>
      <c r="P132" t="str">
        <f t="shared" ref="P132:P195" si="32">LEFT(E132,2)</f>
        <v/>
      </c>
      <c r="Q132" t="str">
        <f t="shared" ref="Q132:Q195" si="33">LEFT(C132,3)</f>
        <v/>
      </c>
      <c r="R132" t="str">
        <f t="shared" ref="R132:R195" si="34">MID(I132,2,2)</f>
        <v/>
      </c>
      <c r="AB132" t="s">
        <v>1994</v>
      </c>
      <c r="AC132" t="s">
        <v>1995</v>
      </c>
      <c r="AD132" t="s">
        <v>5153</v>
      </c>
      <c r="AE132" t="s">
        <v>5154</v>
      </c>
      <c r="AF132" t="s">
        <v>5179</v>
      </c>
      <c r="AG132" t="s">
        <v>5180</v>
      </c>
    </row>
    <row r="133" spans="1:33">
      <c r="A133" s="85" t="str">
        <f>IF(C133="","",VLOOKUP('OPĆI DIO'!$C$3,'OPĆI DIO'!$L$6:$U$138,10,FALSE))</f>
        <v/>
      </c>
      <c r="B133" s="85" t="str">
        <f>IF(C133="","",VLOOKUP('OPĆI DIO'!$C$3,'OPĆI DIO'!$L$6:$U$138,9,FALSE))</f>
        <v/>
      </c>
      <c r="C133" s="90"/>
      <c r="D133" s="85" t="str">
        <f t="shared" si="27"/>
        <v/>
      </c>
      <c r="E133" s="90"/>
      <c r="F133" s="85" t="str">
        <f t="shared" si="28"/>
        <v/>
      </c>
      <c r="G133" s="123"/>
      <c r="H133" s="85" t="str">
        <f t="shared" si="29"/>
        <v/>
      </c>
      <c r="I133" s="85" t="str">
        <f t="shared" si="30"/>
        <v/>
      </c>
      <c r="J133" s="122"/>
      <c r="K133" s="122"/>
      <c r="L133" s="122"/>
      <c r="M133" s="89"/>
      <c r="O133" t="str">
        <f t="shared" si="31"/>
        <v/>
      </c>
      <c r="P133" t="str">
        <f t="shared" si="32"/>
        <v/>
      </c>
      <c r="Q133" t="str">
        <f t="shared" si="33"/>
        <v/>
      </c>
      <c r="R133" t="str">
        <f t="shared" si="34"/>
        <v/>
      </c>
      <c r="AB133" t="s">
        <v>3480</v>
      </c>
      <c r="AC133" t="s">
        <v>3481</v>
      </c>
      <c r="AD133" t="s">
        <v>5167</v>
      </c>
      <c r="AE133" t="s">
        <v>5168</v>
      </c>
      <c r="AF133" t="s">
        <v>5177</v>
      </c>
      <c r="AG133" t="s">
        <v>5188</v>
      </c>
    </row>
    <row r="134" spans="1:33">
      <c r="A134" s="85" t="str">
        <f>IF(C134="","",VLOOKUP('OPĆI DIO'!$C$3,'OPĆI DIO'!$L$6:$U$138,10,FALSE))</f>
        <v/>
      </c>
      <c r="B134" s="85" t="str">
        <f>IF(C134="","",VLOOKUP('OPĆI DIO'!$C$3,'OPĆI DIO'!$L$6:$U$138,9,FALSE))</f>
        <v/>
      </c>
      <c r="C134" s="90"/>
      <c r="D134" s="85" t="str">
        <f t="shared" si="27"/>
        <v/>
      </c>
      <c r="E134" s="90"/>
      <c r="F134" s="85" t="str">
        <f t="shared" si="28"/>
        <v/>
      </c>
      <c r="G134" s="123"/>
      <c r="H134" s="85" t="str">
        <f t="shared" si="29"/>
        <v/>
      </c>
      <c r="I134" s="85" t="str">
        <f t="shared" si="30"/>
        <v/>
      </c>
      <c r="J134" s="122"/>
      <c r="K134" s="122"/>
      <c r="L134" s="122"/>
      <c r="M134" s="89"/>
      <c r="O134" t="str">
        <f t="shared" si="31"/>
        <v/>
      </c>
      <c r="P134" t="str">
        <f t="shared" si="32"/>
        <v/>
      </c>
      <c r="Q134" t="str">
        <f t="shared" si="33"/>
        <v/>
      </c>
      <c r="R134" t="str">
        <f t="shared" si="34"/>
        <v/>
      </c>
      <c r="AB134" t="s">
        <v>1999</v>
      </c>
      <c r="AC134" t="s">
        <v>2000</v>
      </c>
      <c r="AD134" t="s">
        <v>5167</v>
      </c>
      <c r="AE134" t="s">
        <v>5168</v>
      </c>
      <c r="AF134" t="s">
        <v>5177</v>
      </c>
      <c r="AG134" t="s">
        <v>5188</v>
      </c>
    </row>
    <row r="135" spans="1:33">
      <c r="A135" s="85" t="str">
        <f>IF(C135="","",VLOOKUP('OPĆI DIO'!$C$3,'OPĆI DIO'!$L$6:$U$138,10,FALSE))</f>
        <v/>
      </c>
      <c r="B135" s="85" t="str">
        <f>IF(C135="","",VLOOKUP('OPĆI DIO'!$C$3,'OPĆI DIO'!$L$6:$U$138,9,FALSE))</f>
        <v/>
      </c>
      <c r="C135" s="90"/>
      <c r="D135" s="85" t="str">
        <f t="shared" si="27"/>
        <v/>
      </c>
      <c r="E135" s="90"/>
      <c r="F135" s="85" t="str">
        <f t="shared" si="28"/>
        <v/>
      </c>
      <c r="G135" s="123"/>
      <c r="H135" s="85" t="str">
        <f t="shared" si="29"/>
        <v/>
      </c>
      <c r="I135" s="85" t="str">
        <f t="shared" si="30"/>
        <v/>
      </c>
      <c r="J135" s="122"/>
      <c r="K135" s="122"/>
      <c r="L135" s="122"/>
      <c r="M135" s="89"/>
      <c r="O135" t="str">
        <f t="shared" si="31"/>
        <v/>
      </c>
      <c r="P135" t="str">
        <f t="shared" si="32"/>
        <v/>
      </c>
      <c r="Q135" t="str">
        <f t="shared" si="33"/>
        <v/>
      </c>
      <c r="R135" t="str">
        <f t="shared" si="34"/>
        <v/>
      </c>
      <c r="AB135" t="s">
        <v>1999</v>
      </c>
      <c r="AC135" t="s">
        <v>2000</v>
      </c>
      <c r="AD135" t="s">
        <v>5155</v>
      </c>
      <c r="AE135" t="s">
        <v>5156</v>
      </c>
      <c r="AF135" t="s">
        <v>5177</v>
      </c>
      <c r="AG135" t="s">
        <v>5187</v>
      </c>
    </row>
    <row r="136" spans="1:33">
      <c r="A136" s="85" t="str">
        <f>IF(C136="","",VLOOKUP('OPĆI DIO'!$C$3,'OPĆI DIO'!$L$6:$U$138,10,FALSE))</f>
        <v/>
      </c>
      <c r="B136" s="85" t="str">
        <f>IF(C136="","",VLOOKUP('OPĆI DIO'!$C$3,'OPĆI DIO'!$L$6:$U$138,9,FALSE))</f>
        <v/>
      </c>
      <c r="C136" s="90"/>
      <c r="D136" s="85" t="str">
        <f t="shared" si="27"/>
        <v/>
      </c>
      <c r="E136" s="90"/>
      <c r="F136" s="85" t="str">
        <f t="shared" si="28"/>
        <v/>
      </c>
      <c r="G136" s="123"/>
      <c r="H136" s="85" t="str">
        <f t="shared" si="29"/>
        <v/>
      </c>
      <c r="I136" s="85" t="str">
        <f t="shared" si="30"/>
        <v/>
      </c>
      <c r="J136" s="122"/>
      <c r="K136" s="122"/>
      <c r="L136" s="122"/>
      <c r="M136" s="89"/>
      <c r="O136" t="str">
        <f t="shared" si="31"/>
        <v/>
      </c>
      <c r="P136" t="str">
        <f t="shared" si="32"/>
        <v/>
      </c>
      <c r="Q136" t="str">
        <f t="shared" si="33"/>
        <v/>
      </c>
      <c r="R136" t="str">
        <f t="shared" si="34"/>
        <v/>
      </c>
      <c r="AB136" t="s">
        <v>2001</v>
      </c>
      <c r="AC136" t="s">
        <v>3482</v>
      </c>
      <c r="AD136" t="s">
        <v>5155</v>
      </c>
      <c r="AE136" t="s">
        <v>5156</v>
      </c>
      <c r="AF136" t="s">
        <v>5177</v>
      </c>
      <c r="AG136" t="s">
        <v>5187</v>
      </c>
    </row>
    <row r="137" spans="1:33">
      <c r="A137" s="85" t="str">
        <f>IF(C137="","",VLOOKUP('OPĆI DIO'!$C$3,'OPĆI DIO'!$L$6:$U$138,10,FALSE))</f>
        <v/>
      </c>
      <c r="B137" s="85" t="str">
        <f>IF(C137="","",VLOOKUP('OPĆI DIO'!$C$3,'OPĆI DIO'!$L$6:$U$138,9,FALSE))</f>
        <v/>
      </c>
      <c r="C137" s="90"/>
      <c r="D137" s="85" t="str">
        <f t="shared" si="27"/>
        <v/>
      </c>
      <c r="E137" s="90"/>
      <c r="F137" s="85" t="str">
        <f t="shared" si="28"/>
        <v/>
      </c>
      <c r="G137" s="123"/>
      <c r="H137" s="85" t="str">
        <f t="shared" si="29"/>
        <v/>
      </c>
      <c r="I137" s="85" t="str">
        <f t="shared" si="30"/>
        <v/>
      </c>
      <c r="J137" s="122"/>
      <c r="K137" s="122"/>
      <c r="L137" s="122"/>
      <c r="M137" s="89"/>
      <c r="O137" t="str">
        <f t="shared" si="31"/>
        <v/>
      </c>
      <c r="P137" t="str">
        <f t="shared" si="32"/>
        <v/>
      </c>
      <c r="Q137" t="str">
        <f t="shared" si="33"/>
        <v/>
      </c>
      <c r="R137" t="str">
        <f t="shared" si="34"/>
        <v/>
      </c>
      <c r="AB137" t="s">
        <v>2002</v>
      </c>
      <c r="AC137" t="s">
        <v>3483</v>
      </c>
      <c r="AD137" t="s">
        <v>5163</v>
      </c>
      <c r="AE137" t="s">
        <v>5164</v>
      </c>
      <c r="AF137" t="s">
        <v>5177</v>
      </c>
      <c r="AG137" t="s">
        <v>5184</v>
      </c>
    </row>
    <row r="138" spans="1:33">
      <c r="A138" s="85" t="str">
        <f>IF(C138="","",VLOOKUP('OPĆI DIO'!$C$3,'OPĆI DIO'!$L$6:$U$138,10,FALSE))</f>
        <v/>
      </c>
      <c r="B138" s="85" t="str">
        <f>IF(C138="","",VLOOKUP('OPĆI DIO'!$C$3,'OPĆI DIO'!$L$6:$U$138,9,FALSE))</f>
        <v/>
      </c>
      <c r="C138" s="90"/>
      <c r="D138" s="85" t="str">
        <f t="shared" si="27"/>
        <v/>
      </c>
      <c r="E138" s="90"/>
      <c r="F138" s="85" t="str">
        <f t="shared" si="28"/>
        <v/>
      </c>
      <c r="G138" s="123"/>
      <c r="H138" s="85" t="str">
        <f t="shared" si="29"/>
        <v/>
      </c>
      <c r="I138" s="85" t="str">
        <f t="shared" si="30"/>
        <v/>
      </c>
      <c r="J138" s="122"/>
      <c r="K138" s="122"/>
      <c r="L138" s="122"/>
      <c r="M138" s="89"/>
      <c r="O138" t="str">
        <f t="shared" si="31"/>
        <v/>
      </c>
      <c r="P138" t="str">
        <f t="shared" si="32"/>
        <v/>
      </c>
      <c r="Q138" t="str">
        <f t="shared" si="33"/>
        <v/>
      </c>
      <c r="R138" t="str">
        <f t="shared" si="34"/>
        <v/>
      </c>
      <c r="AB138" t="s">
        <v>3484</v>
      </c>
      <c r="AC138" t="s">
        <v>3485</v>
      </c>
      <c r="AD138" t="s">
        <v>5153</v>
      </c>
      <c r="AE138" t="s">
        <v>5154</v>
      </c>
      <c r="AF138" t="s">
        <v>5179</v>
      </c>
      <c r="AG138" t="s">
        <v>5180</v>
      </c>
    </row>
    <row r="139" spans="1:33">
      <c r="A139" s="85" t="str">
        <f>IF(C139="","",VLOOKUP('OPĆI DIO'!$C$3,'OPĆI DIO'!$L$6:$U$138,10,FALSE))</f>
        <v/>
      </c>
      <c r="B139" s="85" t="str">
        <f>IF(C139="","",VLOOKUP('OPĆI DIO'!$C$3,'OPĆI DIO'!$L$6:$U$138,9,FALSE))</f>
        <v/>
      </c>
      <c r="C139" s="90"/>
      <c r="D139" s="85" t="str">
        <f t="shared" si="27"/>
        <v/>
      </c>
      <c r="E139" s="90"/>
      <c r="F139" s="85" t="str">
        <f t="shared" si="28"/>
        <v/>
      </c>
      <c r="G139" s="123"/>
      <c r="H139" s="85" t="str">
        <f t="shared" si="29"/>
        <v/>
      </c>
      <c r="I139" s="85" t="str">
        <f t="shared" si="30"/>
        <v/>
      </c>
      <c r="J139" s="122"/>
      <c r="K139" s="122"/>
      <c r="L139" s="122"/>
      <c r="M139" s="89"/>
      <c r="O139" t="str">
        <f t="shared" si="31"/>
        <v/>
      </c>
      <c r="P139" t="str">
        <f t="shared" si="32"/>
        <v/>
      </c>
      <c r="Q139" t="str">
        <f t="shared" si="33"/>
        <v/>
      </c>
      <c r="R139" t="str">
        <f t="shared" si="34"/>
        <v/>
      </c>
      <c r="AB139" t="s">
        <v>2005</v>
      </c>
      <c r="AC139" t="s">
        <v>2006</v>
      </c>
      <c r="AD139" t="s">
        <v>5151</v>
      </c>
      <c r="AE139" t="s">
        <v>5152</v>
      </c>
      <c r="AF139" t="s">
        <v>5177</v>
      </c>
      <c r="AG139" t="s">
        <v>5184</v>
      </c>
    </row>
    <row r="140" spans="1:33">
      <c r="A140" s="85" t="str">
        <f>IF(C140="","",VLOOKUP('OPĆI DIO'!$C$3,'OPĆI DIO'!$L$6:$U$138,10,FALSE))</f>
        <v/>
      </c>
      <c r="B140" s="85" t="str">
        <f>IF(C140="","",VLOOKUP('OPĆI DIO'!$C$3,'OPĆI DIO'!$L$6:$U$138,9,FALSE))</f>
        <v/>
      </c>
      <c r="C140" s="90"/>
      <c r="D140" s="85" t="str">
        <f t="shared" si="27"/>
        <v/>
      </c>
      <c r="E140" s="90"/>
      <c r="F140" s="85" t="str">
        <f t="shared" si="28"/>
        <v/>
      </c>
      <c r="G140" s="123"/>
      <c r="H140" s="85" t="str">
        <f t="shared" si="29"/>
        <v/>
      </c>
      <c r="I140" s="85" t="str">
        <f t="shared" si="30"/>
        <v/>
      </c>
      <c r="J140" s="122"/>
      <c r="K140" s="122"/>
      <c r="L140" s="122"/>
      <c r="M140" s="89"/>
      <c r="O140" t="str">
        <f t="shared" si="31"/>
        <v/>
      </c>
      <c r="P140" t="str">
        <f t="shared" si="32"/>
        <v/>
      </c>
      <c r="Q140" t="str">
        <f t="shared" si="33"/>
        <v/>
      </c>
      <c r="R140" t="str">
        <f t="shared" si="34"/>
        <v/>
      </c>
      <c r="AB140" t="s">
        <v>2007</v>
      </c>
      <c r="AC140" t="s">
        <v>2008</v>
      </c>
      <c r="AD140" t="s">
        <v>5171</v>
      </c>
      <c r="AE140" t="s">
        <v>5172</v>
      </c>
      <c r="AF140" t="s">
        <v>5177</v>
      </c>
      <c r="AG140" t="s">
        <v>5189</v>
      </c>
    </row>
    <row r="141" spans="1:33">
      <c r="A141" s="85" t="str">
        <f>IF(C141="","",VLOOKUP('OPĆI DIO'!$C$3,'OPĆI DIO'!$L$6:$U$138,10,FALSE))</f>
        <v/>
      </c>
      <c r="B141" s="85" t="str">
        <f>IF(C141="","",VLOOKUP('OPĆI DIO'!$C$3,'OPĆI DIO'!$L$6:$U$138,9,FALSE))</f>
        <v/>
      </c>
      <c r="C141" s="90"/>
      <c r="D141" s="85" t="str">
        <f t="shared" si="27"/>
        <v/>
      </c>
      <c r="E141" s="90"/>
      <c r="F141" s="85" t="str">
        <f t="shared" si="28"/>
        <v/>
      </c>
      <c r="G141" s="123"/>
      <c r="H141" s="85" t="str">
        <f t="shared" si="29"/>
        <v/>
      </c>
      <c r="I141" s="85" t="str">
        <f t="shared" si="30"/>
        <v/>
      </c>
      <c r="J141" s="122"/>
      <c r="K141" s="122"/>
      <c r="L141" s="122"/>
      <c r="M141" s="89"/>
      <c r="O141" t="str">
        <f t="shared" si="31"/>
        <v/>
      </c>
      <c r="P141" t="str">
        <f t="shared" si="32"/>
        <v/>
      </c>
      <c r="Q141" t="str">
        <f t="shared" si="33"/>
        <v/>
      </c>
      <c r="R141" t="str">
        <f t="shared" si="34"/>
        <v/>
      </c>
      <c r="AB141" t="s">
        <v>2010</v>
      </c>
      <c r="AC141" t="s">
        <v>2011</v>
      </c>
      <c r="AD141" t="s">
        <v>5151</v>
      </c>
      <c r="AE141" t="s">
        <v>5152</v>
      </c>
      <c r="AF141" t="s">
        <v>5177</v>
      </c>
      <c r="AG141" t="s">
        <v>5184</v>
      </c>
    </row>
    <row r="142" spans="1:33">
      <c r="A142" s="85" t="str">
        <f>IF(C142="","",VLOOKUP('OPĆI DIO'!$C$3,'OPĆI DIO'!$L$6:$U$138,10,FALSE))</f>
        <v/>
      </c>
      <c r="B142" s="85" t="str">
        <f>IF(C142="","",VLOOKUP('OPĆI DIO'!$C$3,'OPĆI DIO'!$L$6:$U$138,9,FALSE))</f>
        <v/>
      </c>
      <c r="C142" s="90"/>
      <c r="D142" s="85" t="str">
        <f t="shared" si="27"/>
        <v/>
      </c>
      <c r="E142" s="90"/>
      <c r="F142" s="85" t="str">
        <f t="shared" si="28"/>
        <v/>
      </c>
      <c r="G142" s="123"/>
      <c r="H142" s="85" t="str">
        <f t="shared" si="29"/>
        <v/>
      </c>
      <c r="I142" s="85" t="str">
        <f t="shared" si="30"/>
        <v/>
      </c>
      <c r="J142" s="122"/>
      <c r="K142" s="122"/>
      <c r="L142" s="122"/>
      <c r="M142" s="89"/>
      <c r="O142" t="str">
        <f t="shared" si="31"/>
        <v/>
      </c>
      <c r="P142" t="str">
        <f t="shared" si="32"/>
        <v/>
      </c>
      <c r="Q142" t="str">
        <f t="shared" si="33"/>
        <v/>
      </c>
      <c r="R142" t="str">
        <f t="shared" si="34"/>
        <v/>
      </c>
      <c r="AB142" t="s">
        <v>1654</v>
      </c>
      <c r="AC142" t="s">
        <v>1655</v>
      </c>
      <c r="AD142" t="s">
        <v>5167</v>
      </c>
      <c r="AE142" t="s">
        <v>5168</v>
      </c>
      <c r="AF142" t="s">
        <v>5177</v>
      </c>
      <c r="AG142" t="s">
        <v>5188</v>
      </c>
    </row>
    <row r="143" spans="1:33">
      <c r="A143" s="85" t="str">
        <f>IF(C143="","",VLOOKUP('OPĆI DIO'!$C$3,'OPĆI DIO'!$L$6:$U$138,10,FALSE))</f>
        <v/>
      </c>
      <c r="B143" s="85" t="str">
        <f>IF(C143="","",VLOOKUP('OPĆI DIO'!$C$3,'OPĆI DIO'!$L$6:$U$138,9,FALSE))</f>
        <v/>
      </c>
      <c r="C143" s="90"/>
      <c r="D143" s="85" t="str">
        <f t="shared" si="27"/>
        <v/>
      </c>
      <c r="E143" s="90"/>
      <c r="F143" s="85" t="str">
        <f t="shared" si="28"/>
        <v/>
      </c>
      <c r="G143" s="123"/>
      <c r="H143" s="85" t="str">
        <f t="shared" si="29"/>
        <v/>
      </c>
      <c r="I143" s="85" t="str">
        <f t="shared" si="30"/>
        <v/>
      </c>
      <c r="J143" s="122"/>
      <c r="K143" s="122"/>
      <c r="L143" s="122"/>
      <c r="M143" s="89"/>
      <c r="O143" t="str">
        <f t="shared" si="31"/>
        <v/>
      </c>
      <c r="P143" t="str">
        <f t="shared" si="32"/>
        <v/>
      </c>
      <c r="Q143" t="str">
        <f t="shared" si="33"/>
        <v/>
      </c>
      <c r="R143" t="str">
        <f t="shared" si="34"/>
        <v/>
      </c>
      <c r="AB143" t="s">
        <v>2012</v>
      </c>
      <c r="AC143" t="s">
        <v>1997</v>
      </c>
      <c r="AD143" t="s">
        <v>5155</v>
      </c>
      <c r="AE143" t="s">
        <v>5156</v>
      </c>
      <c r="AF143" t="s">
        <v>5177</v>
      </c>
      <c r="AG143" t="s">
        <v>5187</v>
      </c>
    </row>
    <row r="144" spans="1:33">
      <c r="A144" s="85" t="str">
        <f>IF(C144="","",VLOOKUP('OPĆI DIO'!$C$3,'OPĆI DIO'!$L$6:$U$138,10,FALSE))</f>
        <v/>
      </c>
      <c r="B144" s="85" t="str">
        <f>IF(C144="","",VLOOKUP('OPĆI DIO'!$C$3,'OPĆI DIO'!$L$6:$U$138,9,FALSE))</f>
        <v/>
      </c>
      <c r="C144" s="90"/>
      <c r="D144" s="85" t="str">
        <f t="shared" si="27"/>
        <v/>
      </c>
      <c r="E144" s="90"/>
      <c r="F144" s="85" t="str">
        <f t="shared" si="28"/>
        <v/>
      </c>
      <c r="G144" s="123"/>
      <c r="H144" s="85" t="str">
        <f t="shared" si="29"/>
        <v/>
      </c>
      <c r="I144" s="85" t="str">
        <f t="shared" si="30"/>
        <v/>
      </c>
      <c r="J144" s="122"/>
      <c r="K144" s="122"/>
      <c r="L144" s="122"/>
      <c r="M144" s="89"/>
      <c r="O144" t="str">
        <f t="shared" si="31"/>
        <v/>
      </c>
      <c r="P144" t="str">
        <f t="shared" si="32"/>
        <v/>
      </c>
      <c r="Q144" t="str">
        <f t="shared" si="33"/>
        <v/>
      </c>
      <c r="R144" t="str">
        <f t="shared" si="34"/>
        <v/>
      </c>
      <c r="AB144" t="s">
        <v>2013</v>
      </c>
      <c r="AC144" t="s">
        <v>3486</v>
      </c>
      <c r="AD144" t="s">
        <v>5151</v>
      </c>
      <c r="AE144" t="s">
        <v>5152</v>
      </c>
      <c r="AF144" t="s">
        <v>5177</v>
      </c>
      <c r="AG144" t="s">
        <v>5184</v>
      </c>
    </row>
    <row r="145" spans="1:33">
      <c r="A145" s="85" t="str">
        <f>IF(C145="","",VLOOKUP('OPĆI DIO'!$C$3,'OPĆI DIO'!$L$6:$U$138,10,FALSE))</f>
        <v/>
      </c>
      <c r="B145" s="85" t="str">
        <f>IF(C145="","",VLOOKUP('OPĆI DIO'!$C$3,'OPĆI DIO'!$L$6:$U$138,9,FALSE))</f>
        <v/>
      </c>
      <c r="C145" s="90"/>
      <c r="D145" s="85" t="str">
        <f t="shared" si="27"/>
        <v/>
      </c>
      <c r="E145" s="90"/>
      <c r="F145" s="85" t="str">
        <f t="shared" si="28"/>
        <v/>
      </c>
      <c r="G145" s="123"/>
      <c r="H145" s="85" t="str">
        <f t="shared" si="29"/>
        <v/>
      </c>
      <c r="I145" s="85" t="str">
        <f t="shared" si="30"/>
        <v/>
      </c>
      <c r="J145" s="122"/>
      <c r="K145" s="122"/>
      <c r="L145" s="122"/>
      <c r="M145" s="89"/>
      <c r="O145" t="str">
        <f t="shared" si="31"/>
        <v/>
      </c>
      <c r="P145" t="str">
        <f t="shared" si="32"/>
        <v/>
      </c>
      <c r="Q145" t="str">
        <f t="shared" si="33"/>
        <v/>
      </c>
      <c r="R145" t="str">
        <f t="shared" si="34"/>
        <v/>
      </c>
      <c r="AB145" t="s">
        <v>3487</v>
      </c>
      <c r="AC145" t="s">
        <v>3488</v>
      </c>
      <c r="AD145" t="s">
        <v>5153</v>
      </c>
      <c r="AE145" t="s">
        <v>5154</v>
      </c>
      <c r="AF145" t="s">
        <v>5179</v>
      </c>
      <c r="AG145" t="s">
        <v>5180</v>
      </c>
    </row>
    <row r="146" spans="1:33">
      <c r="A146" s="85" t="str">
        <f>IF(C146="","",VLOOKUP('OPĆI DIO'!$C$3,'OPĆI DIO'!$L$6:$U$138,10,FALSE))</f>
        <v/>
      </c>
      <c r="B146" s="85" t="str">
        <f>IF(C146="","",VLOOKUP('OPĆI DIO'!$C$3,'OPĆI DIO'!$L$6:$U$138,9,FALSE))</f>
        <v/>
      </c>
      <c r="C146" s="90"/>
      <c r="D146" s="85" t="str">
        <f t="shared" si="27"/>
        <v/>
      </c>
      <c r="E146" s="90"/>
      <c r="F146" s="85" t="str">
        <f t="shared" si="28"/>
        <v/>
      </c>
      <c r="G146" s="123"/>
      <c r="H146" s="85" t="str">
        <f t="shared" si="29"/>
        <v/>
      </c>
      <c r="I146" s="85" t="str">
        <f t="shared" si="30"/>
        <v/>
      </c>
      <c r="J146" s="122"/>
      <c r="K146" s="122"/>
      <c r="L146" s="122"/>
      <c r="M146" s="89"/>
      <c r="O146" t="str">
        <f t="shared" si="31"/>
        <v/>
      </c>
      <c r="P146" t="str">
        <f t="shared" si="32"/>
        <v/>
      </c>
      <c r="Q146" t="str">
        <f t="shared" si="33"/>
        <v/>
      </c>
      <c r="R146" t="str">
        <f t="shared" si="34"/>
        <v/>
      </c>
      <c r="AB146" t="s">
        <v>3489</v>
      </c>
      <c r="AC146" t="s">
        <v>3490</v>
      </c>
      <c r="AD146" t="s">
        <v>5155</v>
      </c>
      <c r="AE146" t="s">
        <v>5156</v>
      </c>
      <c r="AF146" t="s">
        <v>5177</v>
      </c>
      <c r="AG146" t="s">
        <v>5187</v>
      </c>
    </row>
    <row r="147" spans="1:33">
      <c r="A147" s="85" t="str">
        <f>IF(C147="","",VLOOKUP('OPĆI DIO'!$C$3,'OPĆI DIO'!$L$6:$U$138,10,FALSE))</f>
        <v/>
      </c>
      <c r="B147" s="85" t="str">
        <f>IF(C147="","",VLOOKUP('OPĆI DIO'!$C$3,'OPĆI DIO'!$L$6:$U$138,9,FALSE))</f>
        <v/>
      </c>
      <c r="C147" s="90"/>
      <c r="D147" s="85" t="str">
        <f t="shared" si="27"/>
        <v/>
      </c>
      <c r="E147" s="90"/>
      <c r="F147" s="85" t="str">
        <f t="shared" si="28"/>
        <v/>
      </c>
      <c r="G147" s="123"/>
      <c r="H147" s="85" t="str">
        <f t="shared" si="29"/>
        <v/>
      </c>
      <c r="I147" s="85" t="str">
        <f t="shared" si="30"/>
        <v/>
      </c>
      <c r="J147" s="122"/>
      <c r="K147" s="122"/>
      <c r="L147" s="122"/>
      <c r="M147" s="89"/>
      <c r="O147" t="str">
        <f t="shared" si="31"/>
        <v/>
      </c>
      <c r="P147" t="str">
        <f t="shared" si="32"/>
        <v/>
      </c>
      <c r="Q147" t="str">
        <f t="shared" si="33"/>
        <v/>
      </c>
      <c r="R147" t="str">
        <f t="shared" si="34"/>
        <v/>
      </c>
      <c r="AB147" t="s">
        <v>957</v>
      </c>
      <c r="AC147" t="s">
        <v>1002</v>
      </c>
      <c r="AD147" t="s">
        <v>5171</v>
      </c>
      <c r="AE147" t="s">
        <v>5172</v>
      </c>
      <c r="AF147" t="s">
        <v>5177</v>
      </c>
      <c r="AG147" t="s">
        <v>5189</v>
      </c>
    </row>
    <row r="148" spans="1:33">
      <c r="A148" s="85" t="str">
        <f>IF(C148="","",VLOOKUP('OPĆI DIO'!$C$3,'OPĆI DIO'!$L$6:$U$138,10,FALSE))</f>
        <v/>
      </c>
      <c r="B148" s="85" t="str">
        <f>IF(C148="","",VLOOKUP('OPĆI DIO'!$C$3,'OPĆI DIO'!$L$6:$U$138,9,FALSE))</f>
        <v/>
      </c>
      <c r="C148" s="90"/>
      <c r="D148" s="85" t="str">
        <f t="shared" si="27"/>
        <v/>
      </c>
      <c r="E148" s="90"/>
      <c r="F148" s="85" t="str">
        <f t="shared" si="28"/>
        <v/>
      </c>
      <c r="G148" s="123"/>
      <c r="H148" s="85" t="str">
        <f t="shared" si="29"/>
        <v/>
      </c>
      <c r="I148" s="85" t="str">
        <f t="shared" si="30"/>
        <v/>
      </c>
      <c r="J148" s="122"/>
      <c r="K148" s="122"/>
      <c r="L148" s="122"/>
      <c r="M148" s="89"/>
      <c r="O148" t="str">
        <f t="shared" si="31"/>
        <v/>
      </c>
      <c r="P148" t="str">
        <f t="shared" si="32"/>
        <v/>
      </c>
      <c r="Q148" t="str">
        <f t="shared" si="33"/>
        <v/>
      </c>
      <c r="R148" t="str">
        <f t="shared" si="34"/>
        <v/>
      </c>
      <c r="AB148" t="s">
        <v>3491</v>
      </c>
      <c r="AC148" t="s">
        <v>3492</v>
      </c>
      <c r="AD148" t="s">
        <v>5155</v>
      </c>
      <c r="AE148" t="s">
        <v>5156</v>
      </c>
      <c r="AF148" t="s">
        <v>5177</v>
      </c>
      <c r="AG148" t="s">
        <v>5187</v>
      </c>
    </row>
    <row r="149" spans="1:33">
      <c r="A149" s="85" t="str">
        <f>IF(C149="","",VLOOKUP('OPĆI DIO'!$C$3,'OPĆI DIO'!$L$6:$U$138,10,FALSE))</f>
        <v/>
      </c>
      <c r="B149" s="85" t="str">
        <f>IF(C149="","",VLOOKUP('OPĆI DIO'!$C$3,'OPĆI DIO'!$L$6:$U$138,9,FALSE))</f>
        <v/>
      </c>
      <c r="C149" s="90"/>
      <c r="D149" s="85" t="str">
        <f t="shared" si="27"/>
        <v/>
      </c>
      <c r="E149" s="90"/>
      <c r="F149" s="85" t="str">
        <f t="shared" si="28"/>
        <v/>
      </c>
      <c r="G149" s="123"/>
      <c r="H149" s="85" t="str">
        <f t="shared" si="29"/>
        <v/>
      </c>
      <c r="I149" s="85" t="str">
        <f t="shared" si="30"/>
        <v/>
      </c>
      <c r="J149" s="122"/>
      <c r="K149" s="122"/>
      <c r="L149" s="122"/>
      <c r="M149" s="89"/>
      <c r="O149" t="str">
        <f t="shared" si="31"/>
        <v/>
      </c>
      <c r="P149" t="str">
        <f t="shared" si="32"/>
        <v/>
      </c>
      <c r="Q149" t="str">
        <f t="shared" si="33"/>
        <v/>
      </c>
      <c r="R149" t="str">
        <f t="shared" si="34"/>
        <v/>
      </c>
      <c r="AB149" t="s">
        <v>48</v>
      </c>
      <c r="AC149" t="s">
        <v>49</v>
      </c>
      <c r="AD149" t="s">
        <v>5159</v>
      </c>
      <c r="AE149" t="s">
        <v>5160</v>
      </c>
      <c r="AF149" t="s">
        <v>5177</v>
      </c>
      <c r="AG149" t="s">
        <v>5185</v>
      </c>
    </row>
    <row r="150" spans="1:33">
      <c r="A150" s="85" t="str">
        <f>IF(C150="","",VLOOKUP('OPĆI DIO'!$C$3,'OPĆI DIO'!$L$6:$U$138,10,FALSE))</f>
        <v/>
      </c>
      <c r="B150" s="85" t="str">
        <f>IF(C150="","",VLOOKUP('OPĆI DIO'!$C$3,'OPĆI DIO'!$L$6:$U$138,9,FALSE))</f>
        <v/>
      </c>
      <c r="C150" s="90"/>
      <c r="D150" s="85" t="str">
        <f t="shared" si="27"/>
        <v/>
      </c>
      <c r="E150" s="90"/>
      <c r="F150" s="85" t="str">
        <f t="shared" si="28"/>
        <v/>
      </c>
      <c r="G150" s="123"/>
      <c r="H150" s="85" t="str">
        <f t="shared" si="29"/>
        <v/>
      </c>
      <c r="I150" s="85" t="str">
        <f t="shared" si="30"/>
        <v/>
      </c>
      <c r="J150" s="122"/>
      <c r="K150" s="122"/>
      <c r="L150" s="122"/>
      <c r="M150" s="89"/>
      <c r="N150" s="281">
        <f>SUM(J3:J144)</f>
        <v>17435043</v>
      </c>
      <c r="O150" t="str">
        <f t="shared" si="31"/>
        <v/>
      </c>
      <c r="P150" t="str">
        <f t="shared" si="32"/>
        <v/>
      </c>
      <c r="Q150" t="str">
        <f t="shared" si="33"/>
        <v/>
      </c>
      <c r="R150" t="str">
        <f t="shared" si="34"/>
        <v/>
      </c>
      <c r="AB150" t="s">
        <v>58</v>
      </c>
      <c r="AC150" t="s">
        <v>59</v>
      </c>
      <c r="AD150" t="s">
        <v>5159</v>
      </c>
      <c r="AE150" t="s">
        <v>5160</v>
      </c>
      <c r="AF150" t="s">
        <v>5177</v>
      </c>
      <c r="AG150" t="s">
        <v>5185</v>
      </c>
    </row>
    <row r="151" spans="1:33">
      <c r="A151" s="85" t="str">
        <f>IF(C151="","",VLOOKUP('OPĆI DIO'!$C$3,'OPĆI DIO'!$L$6:$U$138,10,FALSE))</f>
        <v/>
      </c>
      <c r="B151" s="85" t="str">
        <f>IF(C151="","",VLOOKUP('OPĆI DIO'!$C$3,'OPĆI DIO'!$L$6:$U$138,9,FALSE))</f>
        <v/>
      </c>
      <c r="C151" s="90"/>
      <c r="D151" s="85" t="str">
        <f t="shared" si="27"/>
        <v/>
      </c>
      <c r="E151" s="90"/>
      <c r="F151" s="85" t="str">
        <f t="shared" si="28"/>
        <v/>
      </c>
      <c r="G151" s="123"/>
      <c r="H151" s="85" t="str">
        <f t="shared" si="29"/>
        <v/>
      </c>
      <c r="I151" s="85" t="str">
        <f t="shared" si="30"/>
        <v/>
      </c>
      <c r="J151" s="122"/>
      <c r="K151" s="122"/>
      <c r="L151" s="122"/>
      <c r="M151" s="89"/>
      <c r="N151" s="281">
        <f>SUM('Unos rashoda P4'!H3:H102)</f>
        <v>99234</v>
      </c>
      <c r="O151" t="str">
        <f t="shared" si="31"/>
        <v/>
      </c>
      <c r="P151" t="str">
        <f t="shared" si="32"/>
        <v/>
      </c>
      <c r="Q151" t="str">
        <f t="shared" si="33"/>
        <v/>
      </c>
      <c r="R151" t="str">
        <f t="shared" si="34"/>
        <v/>
      </c>
      <c r="AB151" t="s">
        <v>61</v>
      </c>
      <c r="AC151" t="s">
        <v>62</v>
      </c>
      <c r="AD151" t="s">
        <v>5159</v>
      </c>
      <c r="AE151" t="s">
        <v>5160</v>
      </c>
      <c r="AF151" t="s">
        <v>5177</v>
      </c>
      <c r="AG151" t="s">
        <v>5185</v>
      </c>
    </row>
    <row r="152" spans="1:33">
      <c r="A152" s="85" t="str">
        <f>IF(C152="","",VLOOKUP('OPĆI DIO'!$C$3,'OPĆI DIO'!$L$6:$U$138,10,FALSE))</f>
        <v/>
      </c>
      <c r="B152" s="85" t="str">
        <f>IF(C152="","",VLOOKUP('OPĆI DIO'!$C$3,'OPĆI DIO'!$L$6:$U$138,9,FALSE))</f>
        <v/>
      </c>
      <c r="C152" s="90"/>
      <c r="D152" s="85" t="str">
        <f t="shared" si="27"/>
        <v/>
      </c>
      <c r="E152" s="90"/>
      <c r="F152" s="85" t="str">
        <f t="shared" si="28"/>
        <v/>
      </c>
      <c r="G152" s="123"/>
      <c r="H152" s="85" t="str">
        <f t="shared" si="29"/>
        <v/>
      </c>
      <c r="I152" s="85" t="str">
        <f t="shared" si="30"/>
        <v/>
      </c>
      <c r="J152" s="122"/>
      <c r="K152" s="122"/>
      <c r="L152" s="122"/>
      <c r="M152" s="89"/>
      <c r="N152" s="281">
        <f>+N151+N150</f>
        <v>17534277</v>
      </c>
      <c r="O152" t="str">
        <f t="shared" si="31"/>
        <v/>
      </c>
      <c r="P152" t="str">
        <f t="shared" si="32"/>
        <v/>
      </c>
      <c r="Q152" t="str">
        <f t="shared" si="33"/>
        <v/>
      </c>
      <c r="R152" t="str">
        <f t="shared" si="34"/>
        <v/>
      </c>
      <c r="AB152" t="s">
        <v>63</v>
      </c>
      <c r="AC152" t="s">
        <v>64</v>
      </c>
      <c r="AD152" t="s">
        <v>5159</v>
      </c>
      <c r="AE152" t="s">
        <v>5160</v>
      </c>
      <c r="AF152" t="s">
        <v>5177</v>
      </c>
      <c r="AG152" t="s">
        <v>5185</v>
      </c>
    </row>
    <row r="153" spans="1:33">
      <c r="A153" s="85" t="str">
        <f>IF(C153="","",VLOOKUP('OPĆI DIO'!$C$3,'OPĆI DIO'!$L$6:$U$138,10,FALSE))</f>
        <v/>
      </c>
      <c r="B153" s="85" t="str">
        <f>IF(C153="","",VLOOKUP('OPĆI DIO'!$C$3,'OPĆI DIO'!$L$6:$U$138,9,FALSE))</f>
        <v/>
      </c>
      <c r="C153" s="90"/>
      <c r="D153" s="85" t="str">
        <f t="shared" si="27"/>
        <v/>
      </c>
      <c r="E153" s="90"/>
      <c r="F153" s="85" t="str">
        <f t="shared" si="28"/>
        <v/>
      </c>
      <c r="G153" s="123"/>
      <c r="H153" s="85" t="str">
        <f t="shared" si="29"/>
        <v/>
      </c>
      <c r="I153" s="85" t="str">
        <f t="shared" si="30"/>
        <v/>
      </c>
      <c r="J153" s="122"/>
      <c r="K153" s="122"/>
      <c r="L153" s="122"/>
      <c r="M153" s="89"/>
      <c r="N153" s="281">
        <f>+J146+'Unos rashoda P4'!H105</f>
        <v>0</v>
      </c>
      <c r="O153" t="str">
        <f t="shared" si="31"/>
        <v/>
      </c>
      <c r="P153" t="str">
        <f t="shared" si="32"/>
        <v/>
      </c>
      <c r="Q153" t="str">
        <f t="shared" si="33"/>
        <v/>
      </c>
      <c r="R153" t="str">
        <f t="shared" si="34"/>
        <v/>
      </c>
      <c r="AB153" t="s">
        <v>675</v>
      </c>
      <c r="AC153" t="s">
        <v>676</v>
      </c>
      <c r="AD153" t="s">
        <v>5159</v>
      </c>
      <c r="AE153" t="s">
        <v>5160</v>
      </c>
      <c r="AF153" t="s">
        <v>5177</v>
      </c>
      <c r="AG153" t="s">
        <v>5185</v>
      </c>
    </row>
    <row r="154" spans="1:33">
      <c r="A154" s="85" t="str">
        <f>IF(C154="","",VLOOKUP('OPĆI DIO'!$C$3,'OPĆI DIO'!$L$6:$U$138,10,FALSE))</f>
        <v/>
      </c>
      <c r="B154" s="85" t="str">
        <f>IF(C154="","",VLOOKUP('OPĆI DIO'!$C$3,'OPĆI DIO'!$L$6:$U$138,9,FALSE))</f>
        <v/>
      </c>
      <c r="C154" s="90"/>
      <c r="D154" s="85" t="str">
        <f t="shared" si="27"/>
        <v/>
      </c>
      <c r="E154" s="90"/>
      <c r="F154" s="85" t="str">
        <f t="shared" si="28"/>
        <v/>
      </c>
      <c r="G154" s="123"/>
      <c r="H154" s="85" t="str">
        <f t="shared" si="29"/>
        <v/>
      </c>
      <c r="I154" s="85" t="str">
        <f t="shared" si="30"/>
        <v/>
      </c>
      <c r="J154" s="122"/>
      <c r="K154" s="122"/>
      <c r="L154" s="122"/>
      <c r="M154" s="89"/>
      <c r="N154" s="281">
        <f>+N152+N153</f>
        <v>17534277</v>
      </c>
      <c r="O154" t="str">
        <f t="shared" si="31"/>
        <v/>
      </c>
      <c r="P154" t="str">
        <f t="shared" si="32"/>
        <v/>
      </c>
      <c r="Q154" t="str">
        <f t="shared" si="33"/>
        <v/>
      </c>
      <c r="R154" t="str">
        <f t="shared" si="34"/>
        <v/>
      </c>
      <c r="AB154" t="s">
        <v>68</v>
      </c>
      <c r="AC154" t="s">
        <v>69</v>
      </c>
      <c r="AD154" t="s">
        <v>5159</v>
      </c>
      <c r="AE154" t="s">
        <v>5160</v>
      </c>
      <c r="AF154" t="s">
        <v>5177</v>
      </c>
      <c r="AG154" t="s">
        <v>5185</v>
      </c>
    </row>
    <row r="155" spans="1:33">
      <c r="A155" s="85" t="str">
        <f>IF(C155="","",VLOOKUP('OPĆI DIO'!$C$3,'OPĆI DIO'!$L$6:$U$138,10,FALSE))</f>
        <v/>
      </c>
      <c r="B155" s="85" t="str">
        <f>IF(C155="","",VLOOKUP('OPĆI DIO'!$C$3,'OPĆI DIO'!$L$6:$U$138,9,FALSE))</f>
        <v/>
      </c>
      <c r="C155" s="90"/>
      <c r="D155" s="85" t="str">
        <f t="shared" si="27"/>
        <v/>
      </c>
      <c r="E155" s="90"/>
      <c r="F155" s="85" t="str">
        <f t="shared" si="28"/>
        <v/>
      </c>
      <c r="G155" s="123"/>
      <c r="H155" s="85" t="str">
        <f t="shared" si="29"/>
        <v/>
      </c>
      <c r="I155" s="85" t="str">
        <f t="shared" si="30"/>
        <v/>
      </c>
      <c r="J155" s="122"/>
      <c r="K155" s="122"/>
      <c r="L155" s="122"/>
      <c r="M155" s="89"/>
      <c r="O155" t="str">
        <f t="shared" si="31"/>
        <v/>
      </c>
      <c r="P155" t="str">
        <f t="shared" si="32"/>
        <v/>
      </c>
      <c r="Q155" t="str">
        <f t="shared" si="33"/>
        <v/>
      </c>
      <c r="R155" t="str">
        <f t="shared" si="34"/>
        <v/>
      </c>
      <c r="AB155" t="s">
        <v>70</v>
      </c>
      <c r="AC155" t="s">
        <v>71</v>
      </c>
      <c r="AD155" t="s">
        <v>5159</v>
      </c>
      <c r="AE155" t="s">
        <v>5160</v>
      </c>
      <c r="AF155" t="s">
        <v>5177</v>
      </c>
      <c r="AG155" t="s">
        <v>5185</v>
      </c>
    </row>
    <row r="156" spans="1:33">
      <c r="A156" s="85" t="str">
        <f>IF(C156="","",VLOOKUP('OPĆI DIO'!$C$3,'OPĆI DIO'!$L$6:$U$138,10,FALSE))</f>
        <v/>
      </c>
      <c r="B156" s="85" t="str">
        <f>IF(C156="","",VLOOKUP('OPĆI DIO'!$C$3,'OPĆI DIO'!$L$6:$U$138,9,FALSE))</f>
        <v/>
      </c>
      <c r="C156" s="90"/>
      <c r="D156" s="85" t="str">
        <f t="shared" si="27"/>
        <v/>
      </c>
      <c r="E156" s="90"/>
      <c r="F156" s="85" t="str">
        <f t="shared" si="28"/>
        <v/>
      </c>
      <c r="G156" s="123"/>
      <c r="H156" s="85" t="str">
        <f t="shared" si="29"/>
        <v/>
      </c>
      <c r="I156" s="85" t="str">
        <f t="shared" si="30"/>
        <v/>
      </c>
      <c r="J156" s="122"/>
      <c r="K156" s="122"/>
      <c r="L156" s="122"/>
      <c r="M156" s="89"/>
      <c r="O156" t="str">
        <f t="shared" si="31"/>
        <v/>
      </c>
      <c r="P156" t="str">
        <f t="shared" si="32"/>
        <v/>
      </c>
      <c r="Q156" t="str">
        <f t="shared" si="33"/>
        <v/>
      </c>
      <c r="R156" t="str">
        <f t="shared" si="34"/>
        <v/>
      </c>
      <c r="AB156" t="s">
        <v>72</v>
      </c>
      <c r="AC156" t="s">
        <v>73</v>
      </c>
      <c r="AD156" t="s">
        <v>5159</v>
      </c>
      <c r="AE156" t="s">
        <v>5160</v>
      </c>
      <c r="AF156" t="s">
        <v>5177</v>
      </c>
      <c r="AG156" t="s">
        <v>5185</v>
      </c>
    </row>
    <row r="157" spans="1:33">
      <c r="A157" s="85" t="str">
        <f>IF(C157="","",VLOOKUP('OPĆI DIO'!$C$3,'OPĆI DIO'!$L$6:$U$138,10,FALSE))</f>
        <v/>
      </c>
      <c r="B157" s="85" t="str">
        <f>IF(C157="","",VLOOKUP('OPĆI DIO'!$C$3,'OPĆI DIO'!$L$6:$U$138,9,FALSE))</f>
        <v/>
      </c>
      <c r="C157" s="90"/>
      <c r="D157" s="85" t="str">
        <f t="shared" si="27"/>
        <v/>
      </c>
      <c r="E157" s="90"/>
      <c r="F157" s="85" t="str">
        <f t="shared" si="28"/>
        <v/>
      </c>
      <c r="G157" s="123"/>
      <c r="H157" s="85" t="str">
        <f t="shared" si="29"/>
        <v/>
      </c>
      <c r="I157" s="85" t="str">
        <f t="shared" si="30"/>
        <v/>
      </c>
      <c r="J157" s="122"/>
      <c r="K157" s="122"/>
      <c r="L157" s="122"/>
      <c r="M157" s="89"/>
      <c r="N157" s="281"/>
      <c r="O157" t="str">
        <f t="shared" si="31"/>
        <v/>
      </c>
      <c r="P157" t="str">
        <f t="shared" si="32"/>
        <v/>
      </c>
      <c r="Q157" t="str">
        <f t="shared" si="33"/>
        <v/>
      </c>
      <c r="R157" t="str">
        <f t="shared" si="34"/>
        <v/>
      </c>
      <c r="AB157" t="s">
        <v>75</v>
      </c>
      <c r="AC157" t="s">
        <v>76</v>
      </c>
      <c r="AD157" t="s">
        <v>5159</v>
      </c>
      <c r="AE157" t="s">
        <v>5160</v>
      </c>
      <c r="AF157" t="s">
        <v>5177</v>
      </c>
      <c r="AG157" t="s">
        <v>5185</v>
      </c>
    </row>
    <row r="158" spans="1:33">
      <c r="A158" s="85" t="str">
        <f>IF(C158="","",VLOOKUP('OPĆI DIO'!$C$3,'OPĆI DIO'!$L$6:$U$138,10,FALSE))</f>
        <v/>
      </c>
      <c r="B158" s="85" t="str">
        <f>IF(C158="","",VLOOKUP('OPĆI DIO'!$C$3,'OPĆI DIO'!$L$6:$U$138,9,FALSE))</f>
        <v/>
      </c>
      <c r="C158" s="90"/>
      <c r="D158" s="85" t="str">
        <f t="shared" si="27"/>
        <v/>
      </c>
      <c r="E158" s="90"/>
      <c r="F158" s="85" t="str">
        <f t="shared" si="28"/>
        <v/>
      </c>
      <c r="G158" s="123"/>
      <c r="H158" s="85" t="str">
        <f t="shared" si="29"/>
        <v/>
      </c>
      <c r="I158" s="85" t="str">
        <f t="shared" si="30"/>
        <v/>
      </c>
      <c r="J158" s="122"/>
      <c r="K158" s="122"/>
      <c r="L158" s="122"/>
      <c r="M158" s="89"/>
      <c r="O158" t="str">
        <f t="shared" si="31"/>
        <v/>
      </c>
      <c r="P158" t="str">
        <f t="shared" si="32"/>
        <v/>
      </c>
      <c r="Q158" t="str">
        <f t="shared" si="33"/>
        <v/>
      </c>
      <c r="R158" t="str">
        <f t="shared" si="34"/>
        <v/>
      </c>
      <c r="AB158" t="s">
        <v>679</v>
      </c>
      <c r="AC158" t="s">
        <v>680</v>
      </c>
      <c r="AD158" t="s">
        <v>5159</v>
      </c>
      <c r="AE158" t="s">
        <v>5160</v>
      </c>
      <c r="AF158" t="s">
        <v>5177</v>
      </c>
      <c r="AG158" t="s">
        <v>5185</v>
      </c>
    </row>
    <row r="159" spans="1:33">
      <c r="A159" s="85" t="str">
        <f>IF(C159="","",VLOOKUP('OPĆI DIO'!$C$3,'OPĆI DIO'!$L$6:$U$138,10,FALSE))</f>
        <v/>
      </c>
      <c r="B159" s="85" t="str">
        <f>IF(C159="","",VLOOKUP('OPĆI DIO'!$C$3,'OPĆI DIO'!$L$6:$U$138,9,FALSE))</f>
        <v/>
      </c>
      <c r="C159" s="90"/>
      <c r="D159" s="85" t="str">
        <f t="shared" si="27"/>
        <v/>
      </c>
      <c r="E159" s="90"/>
      <c r="F159" s="85" t="str">
        <f t="shared" si="28"/>
        <v/>
      </c>
      <c r="G159" s="123"/>
      <c r="H159" s="85" t="str">
        <f t="shared" si="29"/>
        <v/>
      </c>
      <c r="I159" s="85" t="str">
        <f t="shared" si="30"/>
        <v/>
      </c>
      <c r="J159" s="122"/>
      <c r="K159" s="122"/>
      <c r="L159" s="122"/>
      <c r="M159" s="89"/>
      <c r="N159" s="281"/>
      <c r="O159" t="str">
        <f t="shared" si="31"/>
        <v/>
      </c>
      <c r="P159" t="str">
        <f t="shared" si="32"/>
        <v/>
      </c>
      <c r="Q159" t="str">
        <f t="shared" si="33"/>
        <v/>
      </c>
      <c r="R159" t="str">
        <f t="shared" si="34"/>
        <v/>
      </c>
      <c r="AB159" t="s">
        <v>1878</v>
      </c>
      <c r="AC159" t="s">
        <v>934</v>
      </c>
      <c r="AD159" t="s">
        <v>5159</v>
      </c>
      <c r="AE159" t="s">
        <v>5160</v>
      </c>
      <c r="AF159" t="s">
        <v>5177</v>
      </c>
      <c r="AG159" t="s">
        <v>5185</v>
      </c>
    </row>
    <row r="160" spans="1:33">
      <c r="A160" s="85" t="str">
        <f>IF(C160="","",VLOOKUP('OPĆI DIO'!$C$3,'OPĆI DIO'!$L$6:$U$138,10,FALSE))</f>
        <v/>
      </c>
      <c r="B160" s="85" t="str">
        <f>IF(C160="","",VLOOKUP('OPĆI DIO'!$C$3,'OPĆI DIO'!$L$6:$U$138,9,FALSE))</f>
        <v/>
      </c>
      <c r="C160" s="90"/>
      <c r="D160" s="85" t="str">
        <f t="shared" si="27"/>
        <v/>
      </c>
      <c r="E160" s="90"/>
      <c r="F160" s="85" t="str">
        <f t="shared" si="28"/>
        <v/>
      </c>
      <c r="G160" s="123"/>
      <c r="H160" s="85" t="str">
        <f t="shared" si="29"/>
        <v/>
      </c>
      <c r="I160" s="85" t="str">
        <f t="shared" si="30"/>
        <v/>
      </c>
      <c r="J160" s="122"/>
      <c r="K160" s="122"/>
      <c r="L160" s="122"/>
      <c r="M160" s="89"/>
      <c r="O160" t="str">
        <f t="shared" si="31"/>
        <v/>
      </c>
      <c r="P160" t="str">
        <f t="shared" si="32"/>
        <v/>
      </c>
      <c r="Q160" t="str">
        <f t="shared" si="33"/>
        <v/>
      </c>
      <c r="R160" t="str">
        <f t="shared" si="34"/>
        <v/>
      </c>
      <c r="AB160" t="s">
        <v>935</v>
      </c>
      <c r="AC160" t="s">
        <v>936</v>
      </c>
      <c r="AD160" t="s">
        <v>5159</v>
      </c>
      <c r="AE160" t="s">
        <v>5160</v>
      </c>
      <c r="AF160" t="s">
        <v>5177</v>
      </c>
      <c r="AG160" t="s">
        <v>5185</v>
      </c>
    </row>
    <row r="161" spans="1:33">
      <c r="A161" s="85" t="str">
        <f>IF(C161="","",VLOOKUP('OPĆI DIO'!$C$3,'OPĆI DIO'!$L$6:$U$138,10,FALSE))</f>
        <v/>
      </c>
      <c r="B161" s="85" t="str">
        <f>IF(C161="","",VLOOKUP('OPĆI DIO'!$C$3,'OPĆI DIO'!$L$6:$U$138,9,FALSE))</f>
        <v/>
      </c>
      <c r="C161" s="90"/>
      <c r="D161" s="85" t="str">
        <f t="shared" si="27"/>
        <v/>
      </c>
      <c r="E161" s="90"/>
      <c r="F161" s="85" t="str">
        <f t="shared" si="28"/>
        <v/>
      </c>
      <c r="G161" s="123"/>
      <c r="H161" s="85" t="str">
        <f t="shared" si="29"/>
        <v/>
      </c>
      <c r="I161" s="85" t="str">
        <f t="shared" si="30"/>
        <v/>
      </c>
      <c r="J161" s="122"/>
      <c r="K161" s="122"/>
      <c r="L161" s="122"/>
      <c r="M161" s="89"/>
      <c r="O161" t="str">
        <f t="shared" si="31"/>
        <v/>
      </c>
      <c r="P161" t="str">
        <f t="shared" si="32"/>
        <v/>
      </c>
      <c r="Q161" t="str">
        <f t="shared" si="33"/>
        <v/>
      </c>
      <c r="R161" t="str">
        <f t="shared" si="34"/>
        <v/>
      </c>
      <c r="AB161" t="s">
        <v>681</v>
      </c>
      <c r="AC161" t="s">
        <v>682</v>
      </c>
      <c r="AD161" t="s">
        <v>5159</v>
      </c>
      <c r="AE161" t="s">
        <v>5160</v>
      </c>
      <c r="AF161" t="s">
        <v>5177</v>
      </c>
      <c r="AG161" t="s">
        <v>5185</v>
      </c>
    </row>
    <row r="162" spans="1:33">
      <c r="A162" s="85" t="str">
        <f>IF(C162="","",VLOOKUP('OPĆI DIO'!$C$3,'OPĆI DIO'!$L$6:$U$138,10,FALSE))</f>
        <v/>
      </c>
      <c r="B162" s="85" t="str">
        <f>IF(C162="","",VLOOKUP('OPĆI DIO'!$C$3,'OPĆI DIO'!$L$6:$U$138,9,FALSE))</f>
        <v/>
      </c>
      <c r="C162" s="90"/>
      <c r="D162" s="85" t="str">
        <f t="shared" si="27"/>
        <v/>
      </c>
      <c r="E162" s="90"/>
      <c r="F162" s="85" t="str">
        <f t="shared" si="28"/>
        <v/>
      </c>
      <c r="G162" s="123"/>
      <c r="H162" s="85" t="str">
        <f t="shared" si="29"/>
        <v/>
      </c>
      <c r="I162" s="85" t="str">
        <f t="shared" si="30"/>
        <v/>
      </c>
      <c r="J162" s="122"/>
      <c r="K162" s="122"/>
      <c r="L162" s="122"/>
      <c r="M162" s="89"/>
      <c r="O162" t="str">
        <f t="shared" si="31"/>
        <v/>
      </c>
      <c r="P162" t="str">
        <f t="shared" si="32"/>
        <v/>
      </c>
      <c r="Q162" t="str">
        <f t="shared" si="33"/>
        <v/>
      </c>
      <c r="R162" t="str">
        <f t="shared" si="34"/>
        <v/>
      </c>
      <c r="AB162" t="s">
        <v>673</v>
      </c>
      <c r="AC162" t="s">
        <v>674</v>
      </c>
      <c r="AD162" t="s">
        <v>5159</v>
      </c>
      <c r="AE162" t="s">
        <v>5160</v>
      </c>
      <c r="AF162" t="s">
        <v>5177</v>
      </c>
      <c r="AG162" t="s">
        <v>5185</v>
      </c>
    </row>
    <row r="163" spans="1:33">
      <c r="A163" s="85" t="str">
        <f>IF(C163="","",VLOOKUP('OPĆI DIO'!$C$3,'OPĆI DIO'!$L$6:$U$138,10,FALSE))</f>
        <v/>
      </c>
      <c r="B163" s="85" t="str">
        <f>IF(C163="","",VLOOKUP('OPĆI DIO'!$C$3,'OPĆI DIO'!$L$6:$U$138,9,FALSE))</f>
        <v/>
      </c>
      <c r="C163" s="90"/>
      <c r="D163" s="85" t="str">
        <f t="shared" si="27"/>
        <v/>
      </c>
      <c r="E163" s="90"/>
      <c r="F163" s="85" t="str">
        <f t="shared" si="28"/>
        <v/>
      </c>
      <c r="G163" s="123"/>
      <c r="H163" s="85" t="str">
        <f t="shared" si="29"/>
        <v/>
      </c>
      <c r="I163" s="85" t="str">
        <f t="shared" si="30"/>
        <v/>
      </c>
      <c r="J163" s="122"/>
      <c r="K163" s="122"/>
      <c r="L163" s="122"/>
      <c r="M163" s="89"/>
      <c r="O163" t="str">
        <f t="shared" si="31"/>
        <v/>
      </c>
      <c r="P163" t="str">
        <f t="shared" si="32"/>
        <v/>
      </c>
      <c r="Q163" t="str">
        <f t="shared" si="33"/>
        <v/>
      </c>
      <c r="R163" t="str">
        <f t="shared" si="34"/>
        <v/>
      </c>
      <c r="AB163" t="s">
        <v>92</v>
      </c>
      <c r="AC163" t="s">
        <v>1740</v>
      </c>
      <c r="AD163" t="s">
        <v>5159</v>
      </c>
      <c r="AE163" t="s">
        <v>5160</v>
      </c>
      <c r="AF163" t="s">
        <v>5177</v>
      </c>
      <c r="AG163" t="s">
        <v>5185</v>
      </c>
    </row>
    <row r="164" spans="1:33">
      <c r="A164" s="85" t="str">
        <f>IF(C164="","",VLOOKUP('OPĆI DIO'!$C$3,'OPĆI DIO'!$L$6:$U$138,10,FALSE))</f>
        <v/>
      </c>
      <c r="B164" s="85" t="str">
        <f>IF(C164="","",VLOOKUP('OPĆI DIO'!$C$3,'OPĆI DIO'!$L$6:$U$138,9,FALSE))</f>
        <v/>
      </c>
      <c r="C164" s="90"/>
      <c r="D164" s="85" t="str">
        <f t="shared" si="27"/>
        <v/>
      </c>
      <c r="E164" s="90"/>
      <c r="F164" s="85" t="str">
        <f t="shared" si="28"/>
        <v/>
      </c>
      <c r="G164" s="123"/>
      <c r="H164" s="85" t="str">
        <f t="shared" si="29"/>
        <v/>
      </c>
      <c r="I164" s="85" t="str">
        <f t="shared" si="30"/>
        <v/>
      </c>
      <c r="J164" s="122"/>
      <c r="K164" s="122"/>
      <c r="L164" s="122"/>
      <c r="M164" s="89"/>
      <c r="O164" t="str">
        <f t="shared" si="31"/>
        <v/>
      </c>
      <c r="P164" t="str">
        <f t="shared" si="32"/>
        <v/>
      </c>
      <c r="Q164" t="str">
        <f t="shared" si="33"/>
        <v/>
      </c>
      <c r="R164" t="str">
        <f t="shared" si="34"/>
        <v/>
      </c>
      <c r="AB164" t="s">
        <v>117</v>
      </c>
      <c r="AC164" t="s">
        <v>1741</v>
      </c>
      <c r="AD164" t="s">
        <v>5159</v>
      </c>
      <c r="AE164" t="s">
        <v>5160</v>
      </c>
      <c r="AF164" t="s">
        <v>5177</v>
      </c>
      <c r="AG164" t="s">
        <v>5185</v>
      </c>
    </row>
    <row r="165" spans="1:33">
      <c r="A165" s="85" t="str">
        <f>IF(C165="","",VLOOKUP('OPĆI DIO'!$C$3,'OPĆI DIO'!$L$6:$U$138,10,FALSE))</f>
        <v/>
      </c>
      <c r="B165" s="85" t="str">
        <f>IF(C165="","",VLOOKUP('OPĆI DIO'!$C$3,'OPĆI DIO'!$L$6:$U$138,9,FALSE))</f>
        <v/>
      </c>
      <c r="C165" s="90"/>
      <c r="D165" s="85" t="str">
        <f t="shared" si="27"/>
        <v/>
      </c>
      <c r="E165" s="90"/>
      <c r="F165" s="85" t="str">
        <f t="shared" si="28"/>
        <v/>
      </c>
      <c r="G165" s="123"/>
      <c r="H165" s="85" t="str">
        <f t="shared" si="29"/>
        <v/>
      </c>
      <c r="I165" s="85" t="str">
        <f t="shared" si="30"/>
        <v/>
      </c>
      <c r="J165" s="122"/>
      <c r="K165" s="122"/>
      <c r="L165" s="122"/>
      <c r="M165" s="89"/>
      <c r="O165" t="str">
        <f t="shared" si="31"/>
        <v/>
      </c>
      <c r="P165" t="str">
        <f t="shared" si="32"/>
        <v/>
      </c>
      <c r="Q165" t="str">
        <f t="shared" si="33"/>
        <v/>
      </c>
      <c r="R165" t="str">
        <f t="shared" si="34"/>
        <v/>
      </c>
      <c r="AB165" t="s">
        <v>1913</v>
      </c>
      <c r="AC165" t="s">
        <v>1914</v>
      </c>
      <c r="AD165" t="s">
        <v>5159</v>
      </c>
      <c r="AE165" t="s">
        <v>5160</v>
      </c>
      <c r="AF165" t="s">
        <v>5177</v>
      </c>
      <c r="AG165" t="s">
        <v>5185</v>
      </c>
    </row>
    <row r="166" spans="1:33">
      <c r="A166" s="85" t="str">
        <f>IF(C166="","",VLOOKUP('OPĆI DIO'!$C$3,'OPĆI DIO'!$L$6:$U$138,10,FALSE))</f>
        <v/>
      </c>
      <c r="B166" s="85" t="str">
        <f>IF(C166="","",VLOOKUP('OPĆI DIO'!$C$3,'OPĆI DIO'!$L$6:$U$138,9,FALSE))</f>
        <v/>
      </c>
      <c r="C166" s="90"/>
      <c r="D166" s="85" t="str">
        <f t="shared" si="27"/>
        <v/>
      </c>
      <c r="E166" s="90"/>
      <c r="F166" s="85" t="str">
        <f t="shared" si="28"/>
        <v/>
      </c>
      <c r="G166" s="123"/>
      <c r="H166" s="85" t="str">
        <f t="shared" si="29"/>
        <v/>
      </c>
      <c r="I166" s="85" t="str">
        <f t="shared" si="30"/>
        <v/>
      </c>
      <c r="J166" s="122"/>
      <c r="K166" s="122"/>
      <c r="L166" s="122"/>
      <c r="M166" s="89"/>
      <c r="O166" t="str">
        <f t="shared" si="31"/>
        <v/>
      </c>
      <c r="P166" t="str">
        <f t="shared" si="32"/>
        <v/>
      </c>
      <c r="Q166" t="str">
        <f t="shared" si="33"/>
        <v/>
      </c>
      <c r="R166" t="str">
        <f t="shared" si="34"/>
        <v/>
      </c>
      <c r="AB166" t="s">
        <v>124</v>
      </c>
      <c r="AC166" t="s">
        <v>1742</v>
      </c>
      <c r="AD166" t="s">
        <v>5159</v>
      </c>
      <c r="AE166" t="s">
        <v>5160</v>
      </c>
      <c r="AF166" t="s">
        <v>5177</v>
      </c>
      <c r="AG166" t="s">
        <v>5185</v>
      </c>
    </row>
    <row r="167" spans="1:33">
      <c r="A167" s="85" t="str">
        <f>IF(C167="","",VLOOKUP('OPĆI DIO'!$C$3,'OPĆI DIO'!$L$6:$U$138,10,FALSE))</f>
        <v/>
      </c>
      <c r="B167" s="85" t="str">
        <f>IF(C167="","",VLOOKUP('OPĆI DIO'!$C$3,'OPĆI DIO'!$L$6:$U$138,9,FALSE))</f>
        <v/>
      </c>
      <c r="C167" s="90"/>
      <c r="D167" s="85" t="str">
        <f t="shared" si="27"/>
        <v/>
      </c>
      <c r="E167" s="90"/>
      <c r="F167" s="85" t="str">
        <f t="shared" si="28"/>
        <v/>
      </c>
      <c r="G167" s="123"/>
      <c r="H167" s="85" t="str">
        <f t="shared" si="29"/>
        <v/>
      </c>
      <c r="I167" s="85" t="str">
        <f t="shared" si="30"/>
        <v/>
      </c>
      <c r="J167" s="122"/>
      <c r="K167" s="122"/>
      <c r="L167" s="122"/>
      <c r="M167" s="89"/>
      <c r="O167" t="str">
        <f t="shared" si="31"/>
        <v/>
      </c>
      <c r="P167" t="str">
        <f t="shared" si="32"/>
        <v/>
      </c>
      <c r="Q167" t="str">
        <f t="shared" si="33"/>
        <v/>
      </c>
      <c r="R167" t="str">
        <f t="shared" si="34"/>
        <v/>
      </c>
      <c r="AB167" t="s">
        <v>130</v>
      </c>
      <c r="AC167" t="s">
        <v>1743</v>
      </c>
      <c r="AD167" t="s">
        <v>5159</v>
      </c>
      <c r="AE167" t="s">
        <v>5160</v>
      </c>
      <c r="AF167" t="s">
        <v>5177</v>
      </c>
      <c r="AG167" t="s">
        <v>5185</v>
      </c>
    </row>
    <row r="168" spans="1:33">
      <c r="A168" s="85" t="str">
        <f>IF(C168="","",VLOOKUP('OPĆI DIO'!$C$3,'OPĆI DIO'!$L$6:$U$138,10,FALSE))</f>
        <v/>
      </c>
      <c r="B168" s="85" t="str">
        <f>IF(C168="","",VLOOKUP('OPĆI DIO'!$C$3,'OPĆI DIO'!$L$6:$U$138,9,FALSE))</f>
        <v/>
      </c>
      <c r="C168" s="90"/>
      <c r="D168" s="85" t="str">
        <f t="shared" si="27"/>
        <v/>
      </c>
      <c r="E168" s="90"/>
      <c r="F168" s="85" t="str">
        <f t="shared" si="28"/>
        <v/>
      </c>
      <c r="G168" s="123"/>
      <c r="H168" s="85" t="str">
        <f t="shared" si="29"/>
        <v/>
      </c>
      <c r="I168" s="85" t="str">
        <f t="shared" si="30"/>
        <v/>
      </c>
      <c r="J168" s="122"/>
      <c r="K168" s="122"/>
      <c r="L168" s="122"/>
      <c r="M168" s="89"/>
      <c r="O168" t="str">
        <f t="shared" si="31"/>
        <v/>
      </c>
      <c r="P168" t="str">
        <f t="shared" si="32"/>
        <v/>
      </c>
      <c r="Q168" t="str">
        <f t="shared" si="33"/>
        <v/>
      </c>
      <c r="R168" t="str">
        <f t="shared" si="34"/>
        <v/>
      </c>
      <c r="AB168" t="s">
        <v>132</v>
      </c>
      <c r="AC168" t="s">
        <v>1744</v>
      </c>
      <c r="AD168" t="s">
        <v>5159</v>
      </c>
      <c r="AE168" t="s">
        <v>5160</v>
      </c>
      <c r="AF168" t="s">
        <v>5177</v>
      </c>
      <c r="AG168" t="s">
        <v>5185</v>
      </c>
    </row>
    <row r="169" spans="1:33">
      <c r="A169" s="85" t="str">
        <f>IF(C169="","",VLOOKUP('OPĆI DIO'!$C$3,'OPĆI DIO'!$L$6:$U$138,10,FALSE))</f>
        <v/>
      </c>
      <c r="B169" s="85" t="str">
        <f>IF(C169="","",VLOOKUP('OPĆI DIO'!$C$3,'OPĆI DIO'!$L$6:$U$138,9,FALSE))</f>
        <v/>
      </c>
      <c r="C169" s="90"/>
      <c r="D169" s="85" t="str">
        <f t="shared" si="27"/>
        <v/>
      </c>
      <c r="E169" s="90"/>
      <c r="F169" s="85" t="str">
        <f t="shared" si="28"/>
        <v/>
      </c>
      <c r="G169" s="123"/>
      <c r="H169" s="85" t="str">
        <f t="shared" si="29"/>
        <v/>
      </c>
      <c r="I169" s="85" t="str">
        <f t="shared" si="30"/>
        <v/>
      </c>
      <c r="J169" s="122"/>
      <c r="K169" s="122"/>
      <c r="L169" s="122"/>
      <c r="M169" s="89"/>
      <c r="O169" t="str">
        <f t="shared" si="31"/>
        <v/>
      </c>
      <c r="P169" t="str">
        <f t="shared" si="32"/>
        <v/>
      </c>
      <c r="Q169" t="str">
        <f t="shared" si="33"/>
        <v/>
      </c>
      <c r="R169" t="str">
        <f t="shared" si="34"/>
        <v/>
      </c>
      <c r="AB169" t="s">
        <v>134</v>
      </c>
      <c r="AC169" t="s">
        <v>1915</v>
      </c>
      <c r="AD169" t="s">
        <v>5159</v>
      </c>
      <c r="AE169" t="s">
        <v>5160</v>
      </c>
      <c r="AF169" t="s">
        <v>5177</v>
      </c>
      <c r="AG169" t="s">
        <v>5185</v>
      </c>
    </row>
    <row r="170" spans="1:33">
      <c r="A170" s="85" t="str">
        <f>IF(C170="","",VLOOKUP('OPĆI DIO'!$C$3,'OPĆI DIO'!$L$6:$U$138,10,FALSE))</f>
        <v/>
      </c>
      <c r="B170" s="85" t="str">
        <f>IF(C170="","",VLOOKUP('OPĆI DIO'!$C$3,'OPĆI DIO'!$L$6:$U$138,9,FALSE))</f>
        <v/>
      </c>
      <c r="C170" s="90"/>
      <c r="D170" s="85" t="str">
        <f t="shared" si="27"/>
        <v/>
      </c>
      <c r="E170" s="90"/>
      <c r="F170" s="85" t="str">
        <f t="shared" si="28"/>
        <v/>
      </c>
      <c r="G170" s="123"/>
      <c r="H170" s="85" t="str">
        <f t="shared" si="29"/>
        <v/>
      </c>
      <c r="I170" s="85" t="str">
        <f t="shared" si="30"/>
        <v/>
      </c>
      <c r="J170" s="122"/>
      <c r="K170" s="122"/>
      <c r="L170" s="122"/>
      <c r="M170" s="89"/>
      <c r="O170" t="str">
        <f t="shared" si="31"/>
        <v/>
      </c>
      <c r="P170" t="str">
        <f t="shared" si="32"/>
        <v/>
      </c>
      <c r="Q170" t="str">
        <f t="shared" si="33"/>
        <v/>
      </c>
      <c r="R170" t="str">
        <f t="shared" si="34"/>
        <v/>
      </c>
      <c r="AB170" t="s">
        <v>138</v>
      </c>
      <c r="AC170" t="s">
        <v>1916</v>
      </c>
      <c r="AD170" t="s">
        <v>5159</v>
      </c>
      <c r="AE170" t="s">
        <v>5160</v>
      </c>
      <c r="AF170" t="s">
        <v>5177</v>
      </c>
      <c r="AG170" t="s">
        <v>5185</v>
      </c>
    </row>
    <row r="171" spans="1:33">
      <c r="A171" s="85" t="str">
        <f>IF(C171="","",VLOOKUP('OPĆI DIO'!$C$3,'OPĆI DIO'!$L$6:$U$138,10,FALSE))</f>
        <v/>
      </c>
      <c r="B171" s="85" t="str">
        <f>IF(C171="","",VLOOKUP('OPĆI DIO'!$C$3,'OPĆI DIO'!$L$6:$U$138,9,FALSE))</f>
        <v/>
      </c>
      <c r="C171" s="90"/>
      <c r="D171" s="85" t="str">
        <f t="shared" si="27"/>
        <v/>
      </c>
      <c r="E171" s="90"/>
      <c r="F171" s="85" t="str">
        <f t="shared" si="28"/>
        <v/>
      </c>
      <c r="G171" s="123"/>
      <c r="H171" s="85" t="str">
        <f t="shared" si="29"/>
        <v/>
      </c>
      <c r="I171" s="85" t="str">
        <f t="shared" si="30"/>
        <v/>
      </c>
      <c r="J171" s="122"/>
      <c r="K171" s="122"/>
      <c r="L171" s="122"/>
      <c r="M171" s="89"/>
      <c r="O171" t="str">
        <f t="shared" si="31"/>
        <v/>
      </c>
      <c r="P171" t="str">
        <f t="shared" si="32"/>
        <v/>
      </c>
      <c r="Q171" t="str">
        <f t="shared" si="33"/>
        <v/>
      </c>
      <c r="R171" t="str">
        <f t="shared" si="34"/>
        <v/>
      </c>
      <c r="AB171" t="s">
        <v>1656</v>
      </c>
      <c r="AC171" t="s">
        <v>1657</v>
      </c>
      <c r="AD171" t="s">
        <v>5159</v>
      </c>
      <c r="AE171" t="s">
        <v>5160</v>
      </c>
      <c r="AF171" t="s">
        <v>5177</v>
      </c>
      <c r="AG171" t="s">
        <v>5185</v>
      </c>
    </row>
    <row r="172" spans="1:33">
      <c r="A172" s="85" t="str">
        <f>IF(C172="","",VLOOKUP('OPĆI DIO'!$C$3,'OPĆI DIO'!$L$6:$U$138,10,FALSE))</f>
        <v/>
      </c>
      <c r="B172" s="85" t="str">
        <f>IF(C172="","",VLOOKUP('OPĆI DIO'!$C$3,'OPĆI DIO'!$L$6:$U$138,9,FALSE))</f>
        <v/>
      </c>
      <c r="C172" s="90"/>
      <c r="D172" s="85" t="str">
        <f t="shared" si="27"/>
        <v/>
      </c>
      <c r="E172" s="90"/>
      <c r="F172" s="85" t="str">
        <f t="shared" si="28"/>
        <v/>
      </c>
      <c r="G172" s="123"/>
      <c r="H172" s="85" t="str">
        <f t="shared" si="29"/>
        <v/>
      </c>
      <c r="I172" s="85" t="str">
        <f t="shared" si="30"/>
        <v/>
      </c>
      <c r="J172" s="122"/>
      <c r="K172" s="122"/>
      <c r="L172" s="122"/>
      <c r="M172" s="89"/>
      <c r="O172" t="str">
        <f t="shared" si="31"/>
        <v/>
      </c>
      <c r="P172" t="str">
        <f t="shared" si="32"/>
        <v/>
      </c>
      <c r="Q172" t="str">
        <f t="shared" si="33"/>
        <v/>
      </c>
      <c r="R172" t="str">
        <f t="shared" si="34"/>
        <v/>
      </c>
      <c r="AB172" t="s">
        <v>142</v>
      </c>
      <c r="AC172" t="s">
        <v>143</v>
      </c>
      <c r="AD172" t="s">
        <v>5159</v>
      </c>
      <c r="AE172" t="s">
        <v>5160</v>
      </c>
      <c r="AF172" t="s">
        <v>5177</v>
      </c>
      <c r="AG172" t="s">
        <v>5185</v>
      </c>
    </row>
    <row r="173" spans="1:33">
      <c r="A173" s="85" t="str">
        <f>IF(C173="","",VLOOKUP('OPĆI DIO'!$C$3,'OPĆI DIO'!$L$6:$U$138,10,FALSE))</f>
        <v/>
      </c>
      <c r="B173" s="85" t="str">
        <f>IF(C173="","",VLOOKUP('OPĆI DIO'!$C$3,'OPĆI DIO'!$L$6:$U$138,9,FALSE))</f>
        <v/>
      </c>
      <c r="C173" s="90"/>
      <c r="D173" s="85" t="str">
        <f t="shared" si="27"/>
        <v/>
      </c>
      <c r="E173" s="90"/>
      <c r="F173" s="85" t="str">
        <f t="shared" si="28"/>
        <v/>
      </c>
      <c r="G173" s="123"/>
      <c r="H173" s="85" t="str">
        <f t="shared" si="29"/>
        <v/>
      </c>
      <c r="I173" s="85" t="str">
        <f t="shared" si="30"/>
        <v/>
      </c>
      <c r="J173" s="122"/>
      <c r="K173" s="122"/>
      <c r="L173" s="122"/>
      <c r="M173" s="89"/>
      <c r="O173" t="str">
        <f t="shared" si="31"/>
        <v/>
      </c>
      <c r="P173" t="str">
        <f t="shared" si="32"/>
        <v/>
      </c>
      <c r="Q173" t="str">
        <f t="shared" si="33"/>
        <v/>
      </c>
      <c r="R173" t="str">
        <f t="shared" si="34"/>
        <v/>
      </c>
      <c r="AB173" t="s">
        <v>142</v>
      </c>
      <c r="AC173" t="s">
        <v>143</v>
      </c>
      <c r="AD173" t="s">
        <v>5169</v>
      </c>
      <c r="AE173" t="s">
        <v>5170</v>
      </c>
      <c r="AF173" t="s">
        <v>5177</v>
      </c>
      <c r="AG173" t="s">
        <v>5190</v>
      </c>
    </row>
    <row r="174" spans="1:33">
      <c r="A174" s="85" t="str">
        <f>IF(C174="","",VLOOKUP('OPĆI DIO'!$C$3,'OPĆI DIO'!$L$6:$U$138,10,FALSE))</f>
        <v/>
      </c>
      <c r="B174" s="85" t="str">
        <f>IF(C174="","",VLOOKUP('OPĆI DIO'!$C$3,'OPĆI DIO'!$L$6:$U$138,9,FALSE))</f>
        <v/>
      </c>
      <c r="C174" s="90"/>
      <c r="D174" s="85" t="str">
        <f t="shared" si="27"/>
        <v/>
      </c>
      <c r="E174" s="90"/>
      <c r="F174" s="85" t="str">
        <f t="shared" si="28"/>
        <v/>
      </c>
      <c r="G174" s="123"/>
      <c r="H174" s="85" t="str">
        <f t="shared" si="29"/>
        <v/>
      </c>
      <c r="I174" s="85" t="str">
        <f t="shared" si="30"/>
        <v/>
      </c>
      <c r="J174" s="122"/>
      <c r="K174" s="122"/>
      <c r="L174" s="122"/>
      <c r="M174" s="89"/>
      <c r="O174" t="str">
        <f t="shared" si="31"/>
        <v/>
      </c>
      <c r="P174" t="str">
        <f t="shared" si="32"/>
        <v/>
      </c>
      <c r="Q174" t="str">
        <f t="shared" si="33"/>
        <v/>
      </c>
      <c r="R174" t="str">
        <f t="shared" si="34"/>
        <v/>
      </c>
      <c r="AB174" t="s">
        <v>144</v>
      </c>
      <c r="AC174" t="s">
        <v>1745</v>
      </c>
      <c r="AD174" t="s">
        <v>5159</v>
      </c>
      <c r="AE174" t="s">
        <v>5160</v>
      </c>
      <c r="AF174" t="s">
        <v>5177</v>
      </c>
      <c r="AG174" t="s">
        <v>5185</v>
      </c>
    </row>
    <row r="175" spans="1:33">
      <c r="A175" s="85" t="str">
        <f>IF(C175="","",VLOOKUP('OPĆI DIO'!$C$3,'OPĆI DIO'!$L$6:$U$138,10,FALSE))</f>
        <v/>
      </c>
      <c r="B175" s="85" t="str">
        <f>IF(C175="","",VLOOKUP('OPĆI DIO'!$C$3,'OPĆI DIO'!$L$6:$U$138,9,FALSE))</f>
        <v/>
      </c>
      <c r="C175" s="90"/>
      <c r="D175" s="85" t="str">
        <f t="shared" si="27"/>
        <v/>
      </c>
      <c r="E175" s="90"/>
      <c r="F175" s="85" t="str">
        <f t="shared" si="28"/>
        <v/>
      </c>
      <c r="G175" s="123"/>
      <c r="H175" s="85" t="str">
        <f t="shared" si="29"/>
        <v/>
      </c>
      <c r="I175" s="85" t="str">
        <f t="shared" si="30"/>
        <v/>
      </c>
      <c r="J175" s="122"/>
      <c r="K175" s="122"/>
      <c r="L175" s="122"/>
      <c r="M175" s="89"/>
      <c r="O175" t="str">
        <f t="shared" si="31"/>
        <v/>
      </c>
      <c r="P175" t="str">
        <f t="shared" si="32"/>
        <v/>
      </c>
      <c r="Q175" t="str">
        <f t="shared" si="33"/>
        <v/>
      </c>
      <c r="R175" t="str">
        <f t="shared" si="34"/>
        <v/>
      </c>
      <c r="AB175" t="s">
        <v>145</v>
      </c>
      <c r="AC175" t="s">
        <v>1235</v>
      </c>
      <c r="AD175" t="s">
        <v>5159</v>
      </c>
      <c r="AE175" t="s">
        <v>5160</v>
      </c>
      <c r="AF175" t="s">
        <v>5177</v>
      </c>
      <c r="AG175" t="s">
        <v>5185</v>
      </c>
    </row>
    <row r="176" spans="1:33">
      <c r="A176" s="85" t="str">
        <f>IF(C176="","",VLOOKUP('OPĆI DIO'!$C$3,'OPĆI DIO'!$L$6:$U$138,10,FALSE))</f>
        <v/>
      </c>
      <c r="B176" s="85" t="str">
        <f>IF(C176="","",VLOOKUP('OPĆI DIO'!$C$3,'OPĆI DIO'!$L$6:$U$138,9,FALSE))</f>
        <v/>
      </c>
      <c r="C176" s="90"/>
      <c r="D176" s="85" t="str">
        <f t="shared" si="27"/>
        <v/>
      </c>
      <c r="E176" s="90"/>
      <c r="F176" s="85" t="str">
        <f t="shared" si="28"/>
        <v/>
      </c>
      <c r="G176" s="123"/>
      <c r="H176" s="85" t="str">
        <f t="shared" si="29"/>
        <v/>
      </c>
      <c r="I176" s="85" t="str">
        <f t="shared" si="30"/>
        <v/>
      </c>
      <c r="J176" s="122"/>
      <c r="K176" s="122"/>
      <c r="L176" s="122"/>
      <c r="M176" s="89"/>
      <c r="O176" t="str">
        <f t="shared" si="31"/>
        <v/>
      </c>
      <c r="P176" t="str">
        <f t="shared" si="32"/>
        <v/>
      </c>
      <c r="Q176" t="str">
        <f t="shared" si="33"/>
        <v/>
      </c>
      <c r="R176" t="str">
        <f t="shared" si="34"/>
        <v/>
      </c>
      <c r="AB176" t="s">
        <v>174</v>
      </c>
      <c r="AC176" t="s">
        <v>1236</v>
      </c>
      <c r="AD176" t="s">
        <v>5159</v>
      </c>
      <c r="AE176" t="s">
        <v>5160</v>
      </c>
      <c r="AF176" t="s">
        <v>5177</v>
      </c>
      <c r="AG176" t="s">
        <v>5185</v>
      </c>
    </row>
    <row r="177" spans="1:33">
      <c r="A177" s="85" t="str">
        <f>IF(C177="","",VLOOKUP('OPĆI DIO'!$C$3,'OPĆI DIO'!$L$6:$U$138,10,FALSE))</f>
        <v/>
      </c>
      <c r="B177" s="85" t="str">
        <f>IF(C177="","",VLOOKUP('OPĆI DIO'!$C$3,'OPĆI DIO'!$L$6:$U$138,9,FALSE))</f>
        <v/>
      </c>
      <c r="C177" s="90"/>
      <c r="D177" s="85" t="str">
        <f t="shared" si="27"/>
        <v/>
      </c>
      <c r="E177" s="90"/>
      <c r="F177" s="85" t="str">
        <f t="shared" si="28"/>
        <v/>
      </c>
      <c r="G177" s="123"/>
      <c r="H177" s="85" t="str">
        <f t="shared" si="29"/>
        <v/>
      </c>
      <c r="I177" s="85" t="str">
        <f t="shared" si="30"/>
        <v/>
      </c>
      <c r="J177" s="122"/>
      <c r="K177" s="122"/>
      <c r="L177" s="122"/>
      <c r="M177" s="89"/>
      <c r="O177" t="str">
        <f t="shared" si="31"/>
        <v/>
      </c>
      <c r="P177" t="str">
        <f t="shared" si="32"/>
        <v/>
      </c>
      <c r="Q177" t="str">
        <f t="shared" si="33"/>
        <v/>
      </c>
      <c r="R177" t="str">
        <f t="shared" si="34"/>
        <v/>
      </c>
      <c r="AB177" t="s">
        <v>177</v>
      </c>
      <c r="AC177" t="s">
        <v>1237</v>
      </c>
      <c r="AD177" t="s">
        <v>5159</v>
      </c>
      <c r="AE177" t="s">
        <v>5160</v>
      </c>
      <c r="AF177" t="s">
        <v>5177</v>
      </c>
      <c r="AG177" t="s">
        <v>5185</v>
      </c>
    </row>
    <row r="178" spans="1:33">
      <c r="A178" s="85" t="str">
        <f>IF(C178="","",VLOOKUP('OPĆI DIO'!$C$3,'OPĆI DIO'!$L$6:$U$138,10,FALSE))</f>
        <v/>
      </c>
      <c r="B178" s="85" t="str">
        <f>IF(C178="","",VLOOKUP('OPĆI DIO'!$C$3,'OPĆI DIO'!$L$6:$U$138,9,FALSE))</f>
        <v/>
      </c>
      <c r="C178" s="90"/>
      <c r="D178" s="85" t="str">
        <f t="shared" si="27"/>
        <v/>
      </c>
      <c r="E178" s="90"/>
      <c r="F178" s="85" t="str">
        <f t="shared" si="28"/>
        <v/>
      </c>
      <c r="G178" s="123"/>
      <c r="H178" s="85" t="str">
        <f t="shared" si="29"/>
        <v/>
      </c>
      <c r="I178" s="85" t="str">
        <f t="shared" si="30"/>
        <v/>
      </c>
      <c r="J178" s="122"/>
      <c r="K178" s="122"/>
      <c r="L178" s="122"/>
      <c r="M178" s="89"/>
      <c r="O178" t="str">
        <f t="shared" si="31"/>
        <v/>
      </c>
      <c r="P178" t="str">
        <f t="shared" si="32"/>
        <v/>
      </c>
      <c r="Q178" t="str">
        <f t="shared" si="33"/>
        <v/>
      </c>
      <c r="R178" t="str">
        <f t="shared" si="34"/>
        <v/>
      </c>
      <c r="AB178" t="s">
        <v>180</v>
      </c>
      <c r="AC178" t="s">
        <v>1238</v>
      </c>
      <c r="AD178" t="s">
        <v>5159</v>
      </c>
      <c r="AE178" t="s">
        <v>5160</v>
      </c>
      <c r="AF178" t="s">
        <v>5177</v>
      </c>
      <c r="AG178" t="s">
        <v>5185</v>
      </c>
    </row>
    <row r="179" spans="1:33">
      <c r="A179" s="85" t="str">
        <f>IF(C179="","",VLOOKUP('OPĆI DIO'!$C$3,'OPĆI DIO'!$L$6:$U$138,10,FALSE))</f>
        <v/>
      </c>
      <c r="B179" s="85" t="str">
        <f>IF(C179="","",VLOOKUP('OPĆI DIO'!$C$3,'OPĆI DIO'!$L$6:$U$138,9,FALSE))</f>
        <v/>
      </c>
      <c r="C179" s="90"/>
      <c r="D179" s="85" t="str">
        <f t="shared" si="27"/>
        <v/>
      </c>
      <c r="E179" s="90"/>
      <c r="F179" s="85" t="str">
        <f t="shared" si="28"/>
        <v/>
      </c>
      <c r="G179" s="123"/>
      <c r="H179" s="85" t="str">
        <f t="shared" si="29"/>
        <v/>
      </c>
      <c r="I179" s="85" t="str">
        <f t="shared" si="30"/>
        <v/>
      </c>
      <c r="J179" s="122"/>
      <c r="K179" s="122"/>
      <c r="L179" s="122"/>
      <c r="M179" s="89"/>
      <c r="O179" t="str">
        <f t="shared" si="31"/>
        <v/>
      </c>
      <c r="P179" t="str">
        <f t="shared" si="32"/>
        <v/>
      </c>
      <c r="Q179" t="str">
        <f t="shared" si="33"/>
        <v/>
      </c>
      <c r="R179" t="str">
        <f t="shared" si="34"/>
        <v/>
      </c>
      <c r="AB179" t="s">
        <v>184</v>
      </c>
      <c r="AC179" t="s">
        <v>1239</v>
      </c>
      <c r="AD179" t="s">
        <v>5159</v>
      </c>
      <c r="AE179" t="s">
        <v>5160</v>
      </c>
      <c r="AF179" t="s">
        <v>5177</v>
      </c>
      <c r="AG179" t="s">
        <v>5185</v>
      </c>
    </row>
    <row r="180" spans="1:33">
      <c r="A180" s="85" t="str">
        <f>IF(C180="","",VLOOKUP('OPĆI DIO'!$C$3,'OPĆI DIO'!$L$6:$U$138,10,FALSE))</f>
        <v/>
      </c>
      <c r="B180" s="85" t="str">
        <f>IF(C180="","",VLOOKUP('OPĆI DIO'!$C$3,'OPĆI DIO'!$L$6:$U$138,9,FALSE))</f>
        <v/>
      </c>
      <c r="C180" s="90"/>
      <c r="D180" s="85" t="str">
        <f t="shared" si="27"/>
        <v/>
      </c>
      <c r="E180" s="90"/>
      <c r="F180" s="85" t="str">
        <f t="shared" si="28"/>
        <v/>
      </c>
      <c r="G180" s="123"/>
      <c r="H180" s="85" t="str">
        <f t="shared" si="29"/>
        <v/>
      </c>
      <c r="I180" s="85" t="str">
        <f t="shared" si="30"/>
        <v/>
      </c>
      <c r="J180" s="122"/>
      <c r="K180" s="122"/>
      <c r="L180" s="122"/>
      <c r="M180" s="89"/>
      <c r="O180" t="str">
        <f t="shared" si="31"/>
        <v/>
      </c>
      <c r="P180" t="str">
        <f t="shared" si="32"/>
        <v/>
      </c>
      <c r="Q180" t="str">
        <f t="shared" si="33"/>
        <v/>
      </c>
      <c r="R180" t="str">
        <f t="shared" si="34"/>
        <v/>
      </c>
      <c r="AB180" t="s">
        <v>185</v>
      </c>
      <c r="AC180" t="s">
        <v>1240</v>
      </c>
      <c r="AD180" t="s">
        <v>5159</v>
      </c>
      <c r="AE180" t="s">
        <v>5160</v>
      </c>
      <c r="AF180" t="s">
        <v>5177</v>
      </c>
      <c r="AG180" t="s">
        <v>5185</v>
      </c>
    </row>
    <row r="181" spans="1:33">
      <c r="A181" s="85" t="str">
        <f>IF(C181="","",VLOOKUP('OPĆI DIO'!$C$3,'OPĆI DIO'!$L$6:$U$138,10,FALSE))</f>
        <v/>
      </c>
      <c r="B181" s="85" t="str">
        <f>IF(C181="","",VLOOKUP('OPĆI DIO'!$C$3,'OPĆI DIO'!$L$6:$U$138,9,FALSE))</f>
        <v/>
      </c>
      <c r="C181" s="90"/>
      <c r="D181" s="85" t="str">
        <f t="shared" si="27"/>
        <v/>
      </c>
      <c r="E181" s="90"/>
      <c r="F181" s="85" t="str">
        <f t="shared" si="28"/>
        <v/>
      </c>
      <c r="G181" s="123"/>
      <c r="H181" s="85" t="str">
        <f t="shared" si="29"/>
        <v/>
      </c>
      <c r="I181" s="85" t="str">
        <f t="shared" si="30"/>
        <v/>
      </c>
      <c r="J181" s="122"/>
      <c r="K181" s="122"/>
      <c r="L181" s="122"/>
      <c r="M181" s="89"/>
      <c r="O181" t="str">
        <f t="shared" si="31"/>
        <v/>
      </c>
      <c r="P181" t="str">
        <f t="shared" si="32"/>
        <v/>
      </c>
      <c r="Q181" t="str">
        <f t="shared" si="33"/>
        <v/>
      </c>
      <c r="R181" t="str">
        <f t="shared" si="34"/>
        <v/>
      </c>
      <c r="AB181" t="s">
        <v>187</v>
      </c>
      <c r="AC181" t="s">
        <v>1241</v>
      </c>
      <c r="AD181" t="s">
        <v>5159</v>
      </c>
      <c r="AE181" t="s">
        <v>5160</v>
      </c>
      <c r="AF181" t="s">
        <v>5177</v>
      </c>
      <c r="AG181" t="s">
        <v>5185</v>
      </c>
    </row>
    <row r="182" spans="1:33">
      <c r="A182" s="85" t="str">
        <f>IF(C182="","",VLOOKUP('OPĆI DIO'!$C$3,'OPĆI DIO'!$L$6:$U$138,10,FALSE))</f>
        <v/>
      </c>
      <c r="B182" s="85" t="str">
        <f>IF(C182="","",VLOOKUP('OPĆI DIO'!$C$3,'OPĆI DIO'!$L$6:$U$138,9,FALSE))</f>
        <v/>
      </c>
      <c r="C182" s="90"/>
      <c r="D182" s="85" t="str">
        <f t="shared" si="27"/>
        <v/>
      </c>
      <c r="E182" s="90"/>
      <c r="F182" s="85" t="str">
        <f t="shared" si="28"/>
        <v/>
      </c>
      <c r="G182" s="123"/>
      <c r="H182" s="85" t="str">
        <f t="shared" si="29"/>
        <v/>
      </c>
      <c r="I182" s="85" t="str">
        <f t="shared" si="30"/>
        <v/>
      </c>
      <c r="J182" s="122"/>
      <c r="K182" s="122"/>
      <c r="L182" s="122"/>
      <c r="M182" s="89"/>
      <c r="O182" t="str">
        <f t="shared" si="31"/>
        <v/>
      </c>
      <c r="P182" t="str">
        <f t="shared" si="32"/>
        <v/>
      </c>
      <c r="Q182" t="str">
        <f t="shared" si="33"/>
        <v/>
      </c>
      <c r="R182" t="str">
        <f t="shared" si="34"/>
        <v/>
      </c>
      <c r="AB182" t="s">
        <v>193</v>
      </c>
      <c r="AC182" t="s">
        <v>1242</v>
      </c>
      <c r="AD182" t="s">
        <v>5159</v>
      </c>
      <c r="AE182" t="s">
        <v>5160</v>
      </c>
      <c r="AF182" t="s">
        <v>5177</v>
      </c>
      <c r="AG182" t="s">
        <v>5185</v>
      </c>
    </row>
    <row r="183" spans="1:33">
      <c r="A183" s="85" t="str">
        <f>IF(C183="","",VLOOKUP('OPĆI DIO'!$C$3,'OPĆI DIO'!$L$6:$U$138,10,FALSE))</f>
        <v/>
      </c>
      <c r="B183" s="85" t="str">
        <f>IF(C183="","",VLOOKUP('OPĆI DIO'!$C$3,'OPĆI DIO'!$L$6:$U$138,9,FALSE))</f>
        <v/>
      </c>
      <c r="C183" s="90"/>
      <c r="D183" s="85" t="str">
        <f t="shared" si="27"/>
        <v/>
      </c>
      <c r="E183" s="90"/>
      <c r="F183" s="85" t="str">
        <f t="shared" si="28"/>
        <v/>
      </c>
      <c r="G183" s="123"/>
      <c r="H183" s="85" t="str">
        <f t="shared" si="29"/>
        <v/>
      </c>
      <c r="I183" s="85" t="str">
        <f t="shared" si="30"/>
        <v/>
      </c>
      <c r="J183" s="122"/>
      <c r="K183" s="122"/>
      <c r="L183" s="122"/>
      <c r="M183" s="89"/>
      <c r="O183" t="str">
        <f t="shared" si="31"/>
        <v/>
      </c>
      <c r="P183" t="str">
        <f t="shared" si="32"/>
        <v/>
      </c>
      <c r="Q183" t="str">
        <f t="shared" si="33"/>
        <v/>
      </c>
      <c r="R183" t="str">
        <f t="shared" si="34"/>
        <v/>
      </c>
      <c r="AB183" t="s">
        <v>194</v>
      </c>
      <c r="AC183" t="s">
        <v>1243</v>
      </c>
      <c r="AD183" t="s">
        <v>5159</v>
      </c>
      <c r="AE183" t="s">
        <v>5160</v>
      </c>
      <c r="AF183" t="s">
        <v>5177</v>
      </c>
      <c r="AG183" t="s">
        <v>5185</v>
      </c>
    </row>
    <row r="184" spans="1:33">
      <c r="A184" s="85" t="str">
        <f>IF(C184="","",VLOOKUP('OPĆI DIO'!$C$3,'OPĆI DIO'!$L$6:$U$138,10,FALSE))</f>
        <v/>
      </c>
      <c r="B184" s="85" t="str">
        <f>IF(C184="","",VLOOKUP('OPĆI DIO'!$C$3,'OPĆI DIO'!$L$6:$U$138,9,FALSE))</f>
        <v/>
      </c>
      <c r="C184" s="90"/>
      <c r="D184" s="85" t="str">
        <f t="shared" si="27"/>
        <v/>
      </c>
      <c r="E184" s="90"/>
      <c r="F184" s="85" t="str">
        <f t="shared" si="28"/>
        <v/>
      </c>
      <c r="G184" s="123"/>
      <c r="H184" s="85" t="str">
        <f t="shared" si="29"/>
        <v/>
      </c>
      <c r="I184" s="85" t="str">
        <f t="shared" si="30"/>
        <v/>
      </c>
      <c r="J184" s="122"/>
      <c r="K184" s="122"/>
      <c r="L184" s="122"/>
      <c r="M184" s="89"/>
      <c r="O184" t="str">
        <f t="shared" si="31"/>
        <v/>
      </c>
      <c r="P184" t="str">
        <f t="shared" si="32"/>
        <v/>
      </c>
      <c r="Q184" t="str">
        <f t="shared" si="33"/>
        <v/>
      </c>
      <c r="R184" t="str">
        <f t="shared" si="34"/>
        <v/>
      </c>
      <c r="AB184" t="s">
        <v>1917</v>
      </c>
      <c r="AC184" t="s">
        <v>1918</v>
      </c>
      <c r="AD184" t="s">
        <v>5159</v>
      </c>
      <c r="AE184" t="s">
        <v>5160</v>
      </c>
      <c r="AF184" t="s">
        <v>5177</v>
      </c>
      <c r="AG184" t="s">
        <v>5185</v>
      </c>
    </row>
    <row r="185" spans="1:33">
      <c r="A185" s="85" t="str">
        <f>IF(C185="","",VLOOKUP('OPĆI DIO'!$C$3,'OPĆI DIO'!$L$6:$U$138,10,FALSE))</f>
        <v/>
      </c>
      <c r="B185" s="85" t="str">
        <f>IF(C185="","",VLOOKUP('OPĆI DIO'!$C$3,'OPĆI DIO'!$L$6:$U$138,9,FALSE))</f>
        <v/>
      </c>
      <c r="C185" s="90"/>
      <c r="D185" s="85" t="str">
        <f t="shared" si="27"/>
        <v/>
      </c>
      <c r="E185" s="90"/>
      <c r="F185" s="85" t="str">
        <f t="shared" si="28"/>
        <v/>
      </c>
      <c r="G185" s="123"/>
      <c r="H185" s="85" t="str">
        <f t="shared" si="29"/>
        <v/>
      </c>
      <c r="I185" s="85" t="str">
        <f t="shared" si="30"/>
        <v/>
      </c>
      <c r="J185" s="122"/>
      <c r="K185" s="122"/>
      <c r="L185" s="122"/>
      <c r="M185" s="89"/>
      <c r="O185" t="str">
        <f t="shared" si="31"/>
        <v/>
      </c>
      <c r="P185" t="str">
        <f t="shared" si="32"/>
        <v/>
      </c>
      <c r="Q185" t="str">
        <f t="shared" si="33"/>
        <v/>
      </c>
      <c r="R185" t="str">
        <f t="shared" si="34"/>
        <v/>
      </c>
      <c r="AB185" t="s">
        <v>671</v>
      </c>
      <c r="AC185" t="s">
        <v>672</v>
      </c>
      <c r="AD185" t="s">
        <v>5159</v>
      </c>
      <c r="AE185" t="s">
        <v>5160</v>
      </c>
      <c r="AF185" t="s">
        <v>5177</v>
      </c>
      <c r="AG185" t="s">
        <v>5185</v>
      </c>
    </row>
    <row r="186" spans="1:33">
      <c r="A186" s="85" t="str">
        <f>IF(C186="","",VLOOKUP('OPĆI DIO'!$C$3,'OPĆI DIO'!$L$6:$U$138,10,FALSE))</f>
        <v/>
      </c>
      <c r="B186" s="85" t="str">
        <f>IF(C186="","",VLOOKUP('OPĆI DIO'!$C$3,'OPĆI DIO'!$L$6:$U$138,9,FALSE))</f>
        <v/>
      </c>
      <c r="C186" s="90"/>
      <c r="D186" s="85" t="str">
        <f t="shared" si="27"/>
        <v/>
      </c>
      <c r="E186" s="90"/>
      <c r="F186" s="85" t="str">
        <f t="shared" si="28"/>
        <v/>
      </c>
      <c r="G186" s="123"/>
      <c r="H186" s="85" t="str">
        <f t="shared" si="29"/>
        <v/>
      </c>
      <c r="I186" s="85" t="str">
        <f t="shared" si="30"/>
        <v/>
      </c>
      <c r="J186" s="122"/>
      <c r="K186" s="122"/>
      <c r="L186" s="122"/>
      <c r="M186" s="89"/>
      <c r="O186" t="str">
        <f t="shared" si="31"/>
        <v/>
      </c>
      <c r="P186" t="str">
        <f t="shared" si="32"/>
        <v/>
      </c>
      <c r="Q186" t="str">
        <f t="shared" si="33"/>
        <v/>
      </c>
      <c r="R186" t="str">
        <f t="shared" si="34"/>
        <v/>
      </c>
      <c r="AB186" t="s">
        <v>1658</v>
      </c>
      <c r="AC186" t="s">
        <v>1919</v>
      </c>
      <c r="AD186" t="s">
        <v>5159</v>
      </c>
      <c r="AE186" t="s">
        <v>5160</v>
      </c>
      <c r="AF186" t="s">
        <v>5177</v>
      </c>
      <c r="AG186" t="s">
        <v>5185</v>
      </c>
    </row>
    <row r="187" spans="1:33">
      <c r="A187" s="85" t="str">
        <f>IF(C187="","",VLOOKUP('OPĆI DIO'!$C$3,'OPĆI DIO'!$L$6:$U$138,10,FALSE))</f>
        <v/>
      </c>
      <c r="B187" s="85" t="str">
        <f>IF(C187="","",VLOOKUP('OPĆI DIO'!$C$3,'OPĆI DIO'!$L$6:$U$138,9,FALSE))</f>
        <v/>
      </c>
      <c r="C187" s="90"/>
      <c r="D187" s="85" t="str">
        <f t="shared" si="27"/>
        <v/>
      </c>
      <c r="E187" s="90"/>
      <c r="F187" s="85" t="str">
        <f t="shared" si="28"/>
        <v/>
      </c>
      <c r="G187" s="123"/>
      <c r="H187" s="85" t="str">
        <f t="shared" si="29"/>
        <v/>
      </c>
      <c r="I187" s="85" t="str">
        <f t="shared" si="30"/>
        <v/>
      </c>
      <c r="J187" s="122"/>
      <c r="K187" s="122"/>
      <c r="L187" s="122"/>
      <c r="M187" s="89"/>
      <c r="O187" t="str">
        <f t="shared" si="31"/>
        <v/>
      </c>
      <c r="P187" t="str">
        <f t="shared" si="32"/>
        <v/>
      </c>
      <c r="Q187" t="str">
        <f t="shared" si="33"/>
        <v/>
      </c>
      <c r="R187" t="str">
        <f t="shared" si="34"/>
        <v/>
      </c>
      <c r="AB187" t="s">
        <v>1747</v>
      </c>
      <c r="AC187" t="s">
        <v>1920</v>
      </c>
      <c r="AD187" t="s">
        <v>5159</v>
      </c>
      <c r="AE187" t="s">
        <v>5160</v>
      </c>
      <c r="AF187" t="s">
        <v>5177</v>
      </c>
      <c r="AG187" t="s">
        <v>5185</v>
      </c>
    </row>
    <row r="188" spans="1:33">
      <c r="A188" s="85" t="str">
        <f>IF(C188="","",VLOOKUP('OPĆI DIO'!$C$3,'OPĆI DIO'!$L$6:$U$138,10,FALSE))</f>
        <v/>
      </c>
      <c r="B188" s="85" t="str">
        <f>IF(C188="","",VLOOKUP('OPĆI DIO'!$C$3,'OPĆI DIO'!$L$6:$U$138,9,FALSE))</f>
        <v/>
      </c>
      <c r="C188" s="90"/>
      <c r="D188" s="85" t="str">
        <f t="shared" si="27"/>
        <v/>
      </c>
      <c r="E188" s="90"/>
      <c r="F188" s="85" t="str">
        <f t="shared" si="28"/>
        <v/>
      </c>
      <c r="G188" s="123"/>
      <c r="H188" s="85" t="str">
        <f t="shared" si="29"/>
        <v/>
      </c>
      <c r="I188" s="85" t="str">
        <f t="shared" si="30"/>
        <v/>
      </c>
      <c r="J188" s="122"/>
      <c r="K188" s="122"/>
      <c r="L188" s="122"/>
      <c r="M188" s="89"/>
      <c r="O188" t="str">
        <f t="shared" si="31"/>
        <v/>
      </c>
      <c r="P188" t="str">
        <f t="shared" si="32"/>
        <v/>
      </c>
      <c r="Q188" t="str">
        <f t="shared" si="33"/>
        <v/>
      </c>
      <c r="R188" t="str">
        <f t="shared" si="34"/>
        <v/>
      </c>
      <c r="AB188" t="s">
        <v>1921</v>
      </c>
      <c r="AC188" t="s">
        <v>1922</v>
      </c>
      <c r="AD188" t="s">
        <v>5159</v>
      </c>
      <c r="AE188" t="s">
        <v>5160</v>
      </c>
      <c r="AF188" t="s">
        <v>5177</v>
      </c>
      <c r="AG188" t="s">
        <v>5185</v>
      </c>
    </row>
    <row r="189" spans="1:33">
      <c r="A189" s="85" t="str">
        <f>IF(C189="","",VLOOKUP('OPĆI DIO'!$C$3,'OPĆI DIO'!$L$6:$U$138,10,FALSE))</f>
        <v/>
      </c>
      <c r="B189" s="85" t="str">
        <f>IF(C189="","",VLOOKUP('OPĆI DIO'!$C$3,'OPĆI DIO'!$L$6:$U$138,9,FALSE))</f>
        <v/>
      </c>
      <c r="C189" s="90"/>
      <c r="D189" s="85" t="str">
        <f t="shared" si="27"/>
        <v/>
      </c>
      <c r="E189" s="90"/>
      <c r="F189" s="85" t="str">
        <f t="shared" si="28"/>
        <v/>
      </c>
      <c r="G189" s="123"/>
      <c r="H189" s="85" t="str">
        <f t="shared" si="29"/>
        <v/>
      </c>
      <c r="I189" s="85" t="str">
        <f t="shared" si="30"/>
        <v/>
      </c>
      <c r="J189" s="122"/>
      <c r="K189" s="122"/>
      <c r="L189" s="122"/>
      <c r="M189" s="89"/>
      <c r="O189" t="str">
        <f t="shared" si="31"/>
        <v/>
      </c>
      <c r="P189" t="str">
        <f t="shared" si="32"/>
        <v/>
      </c>
      <c r="Q189" t="str">
        <f t="shared" si="33"/>
        <v/>
      </c>
      <c r="R189" t="str">
        <f t="shared" si="34"/>
        <v/>
      </c>
      <c r="AB189" t="s">
        <v>1923</v>
      </c>
      <c r="AC189" t="s">
        <v>1924</v>
      </c>
      <c r="AD189" t="s">
        <v>5159</v>
      </c>
      <c r="AE189" t="s">
        <v>5160</v>
      </c>
      <c r="AF189" t="s">
        <v>5177</v>
      </c>
      <c r="AG189" t="s">
        <v>5185</v>
      </c>
    </row>
    <row r="190" spans="1:33">
      <c r="A190" s="85" t="str">
        <f>IF(C190="","",VLOOKUP('OPĆI DIO'!$C$3,'OPĆI DIO'!$L$6:$U$138,10,FALSE))</f>
        <v/>
      </c>
      <c r="B190" s="85" t="str">
        <f>IF(C190="","",VLOOKUP('OPĆI DIO'!$C$3,'OPĆI DIO'!$L$6:$U$138,9,FALSE))</f>
        <v/>
      </c>
      <c r="C190" s="90"/>
      <c r="D190" s="85" t="str">
        <f t="shared" si="27"/>
        <v/>
      </c>
      <c r="E190" s="90"/>
      <c r="F190" s="85" t="str">
        <f t="shared" si="28"/>
        <v/>
      </c>
      <c r="G190" s="123"/>
      <c r="H190" s="85" t="str">
        <f t="shared" si="29"/>
        <v/>
      </c>
      <c r="I190" s="85" t="str">
        <f t="shared" si="30"/>
        <v/>
      </c>
      <c r="J190" s="122"/>
      <c r="K190" s="122"/>
      <c r="L190" s="122"/>
      <c r="M190" s="89"/>
      <c r="O190" t="str">
        <f t="shared" si="31"/>
        <v/>
      </c>
      <c r="P190" t="str">
        <f t="shared" si="32"/>
        <v/>
      </c>
      <c r="Q190" t="str">
        <f t="shared" si="33"/>
        <v/>
      </c>
      <c r="R190" t="str">
        <f t="shared" si="34"/>
        <v/>
      </c>
      <c r="AB190" t="s">
        <v>3493</v>
      </c>
      <c r="AC190" t="s">
        <v>3494</v>
      </c>
      <c r="AD190" t="s">
        <v>5159</v>
      </c>
      <c r="AE190" t="s">
        <v>5160</v>
      </c>
      <c r="AF190" t="s">
        <v>5177</v>
      </c>
      <c r="AG190" t="s">
        <v>5185</v>
      </c>
    </row>
    <row r="191" spans="1:33">
      <c r="A191" s="85" t="str">
        <f>IF(C191="","",VLOOKUP('OPĆI DIO'!$C$3,'OPĆI DIO'!$L$6:$U$138,10,FALSE))</f>
        <v/>
      </c>
      <c r="B191" s="85" t="str">
        <f>IF(C191="","",VLOOKUP('OPĆI DIO'!$C$3,'OPĆI DIO'!$L$6:$U$138,9,FALSE))</f>
        <v/>
      </c>
      <c r="C191" s="90"/>
      <c r="D191" s="85" t="str">
        <f t="shared" si="27"/>
        <v/>
      </c>
      <c r="E191" s="90"/>
      <c r="F191" s="85" t="str">
        <f t="shared" si="28"/>
        <v/>
      </c>
      <c r="G191" s="123"/>
      <c r="H191" s="85" t="str">
        <f t="shared" si="29"/>
        <v/>
      </c>
      <c r="I191" s="85" t="str">
        <f t="shared" si="30"/>
        <v/>
      </c>
      <c r="J191" s="122"/>
      <c r="K191" s="122"/>
      <c r="L191" s="122"/>
      <c r="M191" s="89"/>
      <c r="O191" t="str">
        <f t="shared" si="31"/>
        <v/>
      </c>
      <c r="P191" t="str">
        <f t="shared" si="32"/>
        <v/>
      </c>
      <c r="Q191" t="str">
        <f t="shared" si="33"/>
        <v/>
      </c>
      <c r="R191" t="str">
        <f t="shared" si="34"/>
        <v/>
      </c>
      <c r="AB191" t="s">
        <v>677</v>
      </c>
      <c r="AC191" t="s">
        <v>678</v>
      </c>
      <c r="AD191" t="s">
        <v>5159</v>
      </c>
      <c r="AE191" t="s">
        <v>5160</v>
      </c>
      <c r="AF191" t="s">
        <v>5177</v>
      </c>
      <c r="AG191" t="s">
        <v>5185</v>
      </c>
    </row>
    <row r="192" spans="1:33">
      <c r="A192" s="85" t="str">
        <f>IF(C192="","",VLOOKUP('OPĆI DIO'!$C$3,'OPĆI DIO'!$L$6:$U$138,10,FALSE))</f>
        <v/>
      </c>
      <c r="B192" s="85" t="str">
        <f>IF(C192="","",VLOOKUP('OPĆI DIO'!$C$3,'OPĆI DIO'!$L$6:$U$138,9,FALSE))</f>
        <v/>
      </c>
      <c r="C192" s="90"/>
      <c r="D192" s="85" t="str">
        <f t="shared" si="27"/>
        <v/>
      </c>
      <c r="E192" s="90"/>
      <c r="F192" s="85" t="str">
        <f t="shared" si="28"/>
        <v/>
      </c>
      <c r="G192" s="123"/>
      <c r="H192" s="85" t="str">
        <f t="shared" si="29"/>
        <v/>
      </c>
      <c r="I192" s="85" t="str">
        <f t="shared" si="30"/>
        <v/>
      </c>
      <c r="J192" s="122"/>
      <c r="K192" s="122"/>
      <c r="L192" s="122"/>
      <c r="M192" s="89"/>
      <c r="O192" t="str">
        <f t="shared" si="31"/>
        <v/>
      </c>
      <c r="P192" t="str">
        <f t="shared" si="32"/>
        <v/>
      </c>
      <c r="Q192" t="str">
        <f t="shared" si="33"/>
        <v/>
      </c>
      <c r="R192" t="str">
        <f t="shared" si="34"/>
        <v/>
      </c>
      <c r="AB192" t="s">
        <v>233</v>
      </c>
      <c r="AC192" t="s">
        <v>1653</v>
      </c>
      <c r="AD192" t="s">
        <v>5159</v>
      </c>
      <c r="AE192" t="s">
        <v>5160</v>
      </c>
      <c r="AF192" t="s">
        <v>5177</v>
      </c>
      <c r="AG192" t="s">
        <v>5185</v>
      </c>
    </row>
    <row r="193" spans="1:33">
      <c r="A193" s="85" t="str">
        <f>IF(C193="","",VLOOKUP('OPĆI DIO'!$C$3,'OPĆI DIO'!$L$6:$U$138,10,FALSE))</f>
        <v/>
      </c>
      <c r="B193" s="85" t="str">
        <f>IF(C193="","",VLOOKUP('OPĆI DIO'!$C$3,'OPĆI DIO'!$L$6:$U$138,9,FALSE))</f>
        <v/>
      </c>
      <c r="C193" s="90"/>
      <c r="D193" s="85" t="str">
        <f t="shared" si="27"/>
        <v/>
      </c>
      <c r="E193" s="90"/>
      <c r="F193" s="85" t="str">
        <f t="shared" si="28"/>
        <v/>
      </c>
      <c r="G193" s="123"/>
      <c r="H193" s="85" t="str">
        <f t="shared" si="29"/>
        <v/>
      </c>
      <c r="I193" s="85" t="str">
        <f t="shared" si="30"/>
        <v/>
      </c>
      <c r="J193" s="122"/>
      <c r="K193" s="122"/>
      <c r="L193" s="122"/>
      <c r="M193" s="89"/>
      <c r="O193" t="str">
        <f t="shared" si="31"/>
        <v/>
      </c>
      <c r="P193" t="str">
        <f t="shared" si="32"/>
        <v/>
      </c>
      <c r="Q193" t="str">
        <f t="shared" si="33"/>
        <v/>
      </c>
      <c r="R193" t="str">
        <f t="shared" si="34"/>
        <v/>
      </c>
      <c r="AB193" t="s">
        <v>684</v>
      </c>
      <c r="AC193" t="s">
        <v>685</v>
      </c>
      <c r="AD193" t="s">
        <v>5159</v>
      </c>
      <c r="AE193" t="s">
        <v>5160</v>
      </c>
      <c r="AF193" t="s">
        <v>5177</v>
      </c>
      <c r="AG193" t="s">
        <v>5185</v>
      </c>
    </row>
    <row r="194" spans="1:33">
      <c r="A194" s="85" t="str">
        <f>IF(C194="","",VLOOKUP('OPĆI DIO'!$C$3,'OPĆI DIO'!$L$6:$U$138,10,FALSE))</f>
        <v/>
      </c>
      <c r="B194" s="85" t="str">
        <f>IF(C194="","",VLOOKUP('OPĆI DIO'!$C$3,'OPĆI DIO'!$L$6:$U$138,9,FALSE))</f>
        <v/>
      </c>
      <c r="C194" s="90"/>
      <c r="D194" s="85" t="str">
        <f t="shared" si="27"/>
        <v/>
      </c>
      <c r="E194" s="90"/>
      <c r="F194" s="85" t="str">
        <f t="shared" si="28"/>
        <v/>
      </c>
      <c r="G194" s="123"/>
      <c r="H194" s="85" t="str">
        <f t="shared" si="29"/>
        <v/>
      </c>
      <c r="I194" s="85" t="str">
        <f t="shared" si="30"/>
        <v/>
      </c>
      <c r="J194" s="122"/>
      <c r="K194" s="122"/>
      <c r="L194" s="122"/>
      <c r="M194" s="89"/>
      <c r="O194" t="str">
        <f t="shared" si="31"/>
        <v/>
      </c>
      <c r="P194" t="str">
        <f t="shared" si="32"/>
        <v/>
      </c>
      <c r="Q194" t="str">
        <f t="shared" si="33"/>
        <v/>
      </c>
      <c r="R194" t="str">
        <f t="shared" si="34"/>
        <v/>
      </c>
      <c r="AB194" t="s">
        <v>2003</v>
      </c>
      <c r="AC194" t="s">
        <v>1997</v>
      </c>
      <c r="AD194" t="s">
        <v>5159</v>
      </c>
      <c r="AE194" t="s">
        <v>5160</v>
      </c>
      <c r="AF194" t="s">
        <v>5177</v>
      </c>
      <c r="AG194" t="s">
        <v>5185</v>
      </c>
    </row>
    <row r="195" spans="1:33">
      <c r="A195" s="85" t="str">
        <f>IF(C195="","",VLOOKUP('OPĆI DIO'!$C$3,'OPĆI DIO'!$L$6:$U$138,10,FALSE))</f>
        <v/>
      </c>
      <c r="B195" s="85" t="str">
        <f>IF(C195="","",VLOOKUP('OPĆI DIO'!$C$3,'OPĆI DIO'!$L$6:$U$138,9,FALSE))</f>
        <v/>
      </c>
      <c r="C195" s="90"/>
      <c r="D195" s="85" t="str">
        <f t="shared" ref="D195:D258" si="35">IFERROR(VLOOKUP(C195,$S$6:$T$24,2,FALSE),"")</f>
        <v/>
      </c>
      <c r="E195" s="90"/>
      <c r="F195" s="85" t="str">
        <f t="shared" si="28"/>
        <v/>
      </c>
      <c r="G195" s="123"/>
      <c r="H195" s="85" t="str">
        <f t="shared" si="29"/>
        <v/>
      </c>
      <c r="I195" s="85" t="str">
        <f t="shared" si="30"/>
        <v/>
      </c>
      <c r="J195" s="122"/>
      <c r="K195" s="122"/>
      <c r="L195" s="122"/>
      <c r="M195" s="89"/>
      <c r="O195" t="str">
        <f t="shared" si="31"/>
        <v/>
      </c>
      <c r="P195" t="str">
        <f t="shared" si="32"/>
        <v/>
      </c>
      <c r="Q195" t="str">
        <f t="shared" si="33"/>
        <v/>
      </c>
      <c r="R195" t="str">
        <f t="shared" si="34"/>
        <v/>
      </c>
      <c r="AB195" t="s">
        <v>2004</v>
      </c>
      <c r="AC195" t="s">
        <v>3482</v>
      </c>
      <c r="AD195" t="s">
        <v>5159</v>
      </c>
      <c r="AE195" t="s">
        <v>5160</v>
      </c>
      <c r="AF195" t="s">
        <v>5177</v>
      </c>
      <c r="AG195" t="s">
        <v>5185</v>
      </c>
    </row>
    <row r="196" spans="1:33">
      <c r="A196" s="85" t="str">
        <f>IF(C196="","",VLOOKUP('OPĆI DIO'!$C$3,'OPĆI DIO'!$L$6:$U$138,10,FALSE))</f>
        <v/>
      </c>
      <c r="B196" s="85" t="str">
        <f>IF(C196="","",VLOOKUP('OPĆI DIO'!$C$3,'OPĆI DIO'!$L$6:$U$138,9,FALSE))</f>
        <v/>
      </c>
      <c r="C196" s="90"/>
      <c r="D196" s="85" t="str">
        <f t="shared" si="35"/>
        <v/>
      </c>
      <c r="E196" s="90"/>
      <c r="F196" s="85" t="str">
        <f t="shared" ref="F196:F259" si="36">IFERROR(VLOOKUP(E196,$V$5:$X$129,2,FALSE),"")</f>
        <v/>
      </c>
      <c r="G196" s="123"/>
      <c r="H196" s="85" t="str">
        <f t="shared" ref="H196:H259" si="37">IFERROR(VLOOKUP(G196,$AB$6:$AC$327,2,FALSE),"")</f>
        <v/>
      </c>
      <c r="I196" s="85" t="str">
        <f t="shared" ref="I196:I259" si="38">IFERROR(VLOOKUP(G196,$AB$6:$AF$327,3,FALSE),"")</f>
        <v/>
      </c>
      <c r="J196" s="122"/>
      <c r="K196" s="122"/>
      <c r="L196" s="122"/>
      <c r="M196" s="89"/>
      <c r="O196" t="str">
        <f t="shared" ref="O196:O259" si="39">LEFT(E196,3)</f>
        <v/>
      </c>
      <c r="P196" t="str">
        <f t="shared" ref="P196:P259" si="40">LEFT(E196,2)</f>
        <v/>
      </c>
      <c r="Q196" t="str">
        <f t="shared" ref="Q196:Q259" si="41">LEFT(C196,3)</f>
        <v/>
      </c>
      <c r="R196" t="str">
        <f t="shared" ref="R196:R259" si="42">MID(I196,2,2)</f>
        <v/>
      </c>
      <c r="AB196" t="s">
        <v>3495</v>
      </c>
      <c r="AC196" t="s">
        <v>3496</v>
      </c>
      <c r="AD196" t="s">
        <v>5159</v>
      </c>
      <c r="AE196" t="s">
        <v>5160</v>
      </c>
      <c r="AF196" t="s">
        <v>5177</v>
      </c>
      <c r="AG196" t="s">
        <v>5185</v>
      </c>
    </row>
    <row r="197" spans="1:33">
      <c r="A197" s="85" t="str">
        <f>IF(C197="","",VLOOKUP('OPĆI DIO'!$C$3,'OPĆI DIO'!$L$6:$U$138,10,FALSE))</f>
        <v/>
      </c>
      <c r="B197" s="85" t="str">
        <f>IF(C197="","",VLOOKUP('OPĆI DIO'!$C$3,'OPĆI DIO'!$L$6:$U$138,9,FALSE))</f>
        <v/>
      </c>
      <c r="C197" s="90"/>
      <c r="D197" s="85" t="str">
        <f t="shared" si="35"/>
        <v/>
      </c>
      <c r="E197" s="90"/>
      <c r="F197" s="85" t="str">
        <f t="shared" si="36"/>
        <v/>
      </c>
      <c r="G197" s="123"/>
      <c r="H197" s="85" t="str">
        <f t="shared" si="37"/>
        <v/>
      </c>
      <c r="I197" s="85" t="str">
        <f t="shared" si="38"/>
        <v/>
      </c>
      <c r="J197" s="122"/>
      <c r="K197" s="122"/>
      <c r="L197" s="122"/>
      <c r="M197" s="89"/>
      <c r="O197" t="str">
        <f t="shared" si="39"/>
        <v/>
      </c>
      <c r="P197" t="str">
        <f t="shared" si="40"/>
        <v/>
      </c>
      <c r="Q197" t="str">
        <f t="shared" si="41"/>
        <v/>
      </c>
      <c r="R197" t="str">
        <f t="shared" si="42"/>
        <v/>
      </c>
      <c r="AB197" t="s">
        <v>688</v>
      </c>
      <c r="AC197" t="s">
        <v>689</v>
      </c>
      <c r="AD197" t="s">
        <v>5153</v>
      </c>
      <c r="AE197" t="s">
        <v>5154</v>
      </c>
      <c r="AF197" t="s">
        <v>5179</v>
      </c>
      <c r="AG197" t="s">
        <v>5180</v>
      </c>
    </row>
    <row r="198" spans="1:33">
      <c r="A198" s="85" t="str">
        <f>IF(C198="","",VLOOKUP('OPĆI DIO'!$C$3,'OPĆI DIO'!$L$6:$U$138,10,FALSE))</f>
        <v/>
      </c>
      <c r="B198" s="85" t="str">
        <f>IF(C198="","",VLOOKUP('OPĆI DIO'!$C$3,'OPĆI DIO'!$L$6:$U$138,9,FALSE))</f>
        <v/>
      </c>
      <c r="C198" s="90"/>
      <c r="D198" s="85" t="str">
        <f t="shared" si="35"/>
        <v/>
      </c>
      <c r="E198" s="90"/>
      <c r="F198" s="85" t="str">
        <f t="shared" si="36"/>
        <v/>
      </c>
      <c r="G198" s="123"/>
      <c r="H198" s="85" t="str">
        <f t="shared" si="37"/>
        <v/>
      </c>
      <c r="I198" s="85" t="str">
        <f t="shared" si="38"/>
        <v/>
      </c>
      <c r="J198" s="122"/>
      <c r="K198" s="122"/>
      <c r="L198" s="122"/>
      <c r="M198" s="89"/>
      <c r="O198" t="str">
        <f t="shared" si="39"/>
        <v/>
      </c>
      <c r="P198" t="str">
        <f t="shared" si="40"/>
        <v/>
      </c>
      <c r="Q198" t="str">
        <f t="shared" si="41"/>
        <v/>
      </c>
      <c r="R198" t="str">
        <f t="shared" si="42"/>
        <v/>
      </c>
      <c r="AB198" t="s">
        <v>690</v>
      </c>
      <c r="AC198" t="s">
        <v>691</v>
      </c>
      <c r="AD198" t="s">
        <v>5153</v>
      </c>
      <c r="AE198" t="s">
        <v>5154</v>
      </c>
      <c r="AF198" t="s">
        <v>5179</v>
      </c>
      <c r="AG198" t="s">
        <v>5180</v>
      </c>
    </row>
    <row r="199" spans="1:33">
      <c r="A199" s="85" t="str">
        <f>IF(C199="","",VLOOKUP('OPĆI DIO'!$C$3,'OPĆI DIO'!$L$6:$U$138,10,FALSE))</f>
        <v/>
      </c>
      <c r="B199" s="85" t="str">
        <f>IF(C199="","",VLOOKUP('OPĆI DIO'!$C$3,'OPĆI DIO'!$L$6:$U$138,9,FALSE))</f>
        <v/>
      </c>
      <c r="C199" s="90"/>
      <c r="D199" s="85" t="str">
        <f t="shared" si="35"/>
        <v/>
      </c>
      <c r="E199" s="90"/>
      <c r="F199" s="85" t="str">
        <f t="shared" si="36"/>
        <v/>
      </c>
      <c r="G199" s="123"/>
      <c r="H199" s="85" t="str">
        <f t="shared" si="37"/>
        <v/>
      </c>
      <c r="I199" s="85" t="str">
        <f t="shared" si="38"/>
        <v/>
      </c>
      <c r="J199" s="122"/>
      <c r="K199" s="122"/>
      <c r="L199" s="122"/>
      <c r="M199" s="89"/>
      <c r="O199" t="str">
        <f t="shared" si="39"/>
        <v/>
      </c>
      <c r="P199" t="str">
        <f t="shared" si="40"/>
        <v/>
      </c>
      <c r="Q199" t="str">
        <f t="shared" si="41"/>
        <v/>
      </c>
      <c r="R199" t="str">
        <f t="shared" si="42"/>
        <v/>
      </c>
      <c r="AB199" t="s">
        <v>938</v>
      </c>
      <c r="AC199" t="s">
        <v>939</v>
      </c>
      <c r="AD199" t="s">
        <v>5153</v>
      </c>
      <c r="AE199" t="s">
        <v>5154</v>
      </c>
      <c r="AF199" t="s">
        <v>5179</v>
      </c>
      <c r="AG199" t="s">
        <v>5180</v>
      </c>
    </row>
    <row r="200" spans="1:33">
      <c r="A200" s="85" t="str">
        <f>IF(C200="","",VLOOKUP('OPĆI DIO'!$C$3,'OPĆI DIO'!$L$6:$U$138,10,FALSE))</f>
        <v/>
      </c>
      <c r="B200" s="85" t="str">
        <f>IF(C200="","",VLOOKUP('OPĆI DIO'!$C$3,'OPĆI DIO'!$L$6:$U$138,9,FALSE))</f>
        <v/>
      </c>
      <c r="C200" s="90"/>
      <c r="D200" s="85" t="str">
        <f t="shared" si="35"/>
        <v/>
      </c>
      <c r="E200" s="90"/>
      <c r="F200" s="85" t="str">
        <f t="shared" si="36"/>
        <v/>
      </c>
      <c r="G200" s="123"/>
      <c r="H200" s="85" t="str">
        <f t="shared" si="37"/>
        <v/>
      </c>
      <c r="I200" s="85" t="str">
        <f t="shared" si="38"/>
        <v/>
      </c>
      <c r="J200" s="122"/>
      <c r="K200" s="122"/>
      <c r="L200" s="122"/>
      <c r="M200" s="89"/>
      <c r="O200" t="str">
        <f t="shared" si="39"/>
        <v/>
      </c>
      <c r="P200" t="str">
        <f t="shared" si="40"/>
        <v/>
      </c>
      <c r="Q200" t="str">
        <f t="shared" si="41"/>
        <v/>
      </c>
      <c r="R200" t="str">
        <f t="shared" si="42"/>
        <v/>
      </c>
      <c r="AB200" t="s">
        <v>692</v>
      </c>
      <c r="AC200" t="s">
        <v>693</v>
      </c>
      <c r="AD200" t="s">
        <v>5153</v>
      </c>
      <c r="AE200" t="s">
        <v>5154</v>
      </c>
      <c r="AF200" t="s">
        <v>5179</v>
      </c>
      <c r="AG200" t="s">
        <v>5180</v>
      </c>
    </row>
    <row r="201" spans="1:33">
      <c r="A201" s="85" t="str">
        <f>IF(C201="","",VLOOKUP('OPĆI DIO'!$C$3,'OPĆI DIO'!$L$6:$U$138,10,FALSE))</f>
        <v/>
      </c>
      <c r="B201" s="85" t="str">
        <f>IF(C201="","",VLOOKUP('OPĆI DIO'!$C$3,'OPĆI DIO'!$L$6:$U$138,9,FALSE))</f>
        <v/>
      </c>
      <c r="C201" s="90"/>
      <c r="D201" s="85" t="str">
        <f t="shared" si="35"/>
        <v/>
      </c>
      <c r="E201" s="90"/>
      <c r="F201" s="85" t="str">
        <f t="shared" si="36"/>
        <v/>
      </c>
      <c r="G201" s="123"/>
      <c r="H201" s="85" t="str">
        <f t="shared" si="37"/>
        <v/>
      </c>
      <c r="I201" s="85" t="str">
        <f t="shared" si="38"/>
        <v/>
      </c>
      <c r="J201" s="122"/>
      <c r="K201" s="122"/>
      <c r="L201" s="122"/>
      <c r="M201" s="89"/>
      <c r="O201" t="str">
        <f t="shared" si="39"/>
        <v/>
      </c>
      <c r="P201" t="str">
        <f t="shared" si="40"/>
        <v/>
      </c>
      <c r="Q201" t="str">
        <f t="shared" si="41"/>
        <v/>
      </c>
      <c r="R201" t="str">
        <f t="shared" si="42"/>
        <v/>
      </c>
      <c r="AB201" t="s">
        <v>940</v>
      </c>
      <c r="AC201" t="s">
        <v>934</v>
      </c>
      <c r="AD201" t="s">
        <v>5153</v>
      </c>
      <c r="AE201" t="s">
        <v>5154</v>
      </c>
      <c r="AF201" t="s">
        <v>5179</v>
      </c>
      <c r="AG201" t="s">
        <v>5180</v>
      </c>
    </row>
    <row r="202" spans="1:33">
      <c r="A202" s="85" t="str">
        <f>IF(C202="","",VLOOKUP('OPĆI DIO'!$C$3,'OPĆI DIO'!$L$6:$U$138,10,FALSE))</f>
        <v/>
      </c>
      <c r="B202" s="85" t="str">
        <f>IF(C202="","",VLOOKUP('OPĆI DIO'!$C$3,'OPĆI DIO'!$L$6:$U$138,9,FALSE))</f>
        <v/>
      </c>
      <c r="C202" s="90"/>
      <c r="D202" s="85" t="str">
        <f t="shared" si="35"/>
        <v/>
      </c>
      <c r="E202" s="90"/>
      <c r="F202" s="85" t="str">
        <f t="shared" si="36"/>
        <v/>
      </c>
      <c r="G202" s="123"/>
      <c r="H202" s="85" t="str">
        <f t="shared" si="37"/>
        <v/>
      </c>
      <c r="I202" s="85" t="str">
        <f t="shared" si="38"/>
        <v/>
      </c>
      <c r="J202" s="122"/>
      <c r="K202" s="122"/>
      <c r="L202" s="122"/>
      <c r="M202" s="89"/>
      <c r="O202" t="str">
        <f t="shared" si="39"/>
        <v/>
      </c>
      <c r="P202" t="str">
        <f t="shared" si="40"/>
        <v/>
      </c>
      <c r="Q202" t="str">
        <f t="shared" si="41"/>
        <v/>
      </c>
      <c r="R202" t="str">
        <f t="shared" si="42"/>
        <v/>
      </c>
      <c r="AB202" t="s">
        <v>694</v>
      </c>
      <c r="AC202" t="s">
        <v>1746</v>
      </c>
      <c r="AD202" t="s">
        <v>5153</v>
      </c>
      <c r="AE202" t="s">
        <v>5154</v>
      </c>
      <c r="AF202" t="s">
        <v>5179</v>
      </c>
      <c r="AG202" t="s">
        <v>5180</v>
      </c>
    </row>
    <row r="203" spans="1:33">
      <c r="A203" s="85" t="str">
        <f>IF(C203="","",VLOOKUP('OPĆI DIO'!$C$3,'OPĆI DIO'!$L$6:$U$138,10,FALSE))</f>
        <v/>
      </c>
      <c r="B203" s="85" t="str">
        <f>IF(C203="","",VLOOKUP('OPĆI DIO'!$C$3,'OPĆI DIO'!$L$6:$U$138,9,FALSE))</f>
        <v/>
      </c>
      <c r="C203" s="90"/>
      <c r="D203" s="85" t="str">
        <f t="shared" si="35"/>
        <v/>
      </c>
      <c r="E203" s="90"/>
      <c r="F203" s="85" t="str">
        <f t="shared" si="36"/>
        <v/>
      </c>
      <c r="G203" s="123"/>
      <c r="H203" s="85" t="str">
        <f t="shared" si="37"/>
        <v/>
      </c>
      <c r="I203" s="85" t="str">
        <f t="shared" si="38"/>
        <v/>
      </c>
      <c r="J203" s="122"/>
      <c r="K203" s="122"/>
      <c r="L203" s="122"/>
      <c r="M203" s="89"/>
      <c r="O203" t="str">
        <f t="shared" si="39"/>
        <v/>
      </c>
      <c r="P203" t="str">
        <f t="shared" si="40"/>
        <v/>
      </c>
      <c r="Q203" t="str">
        <f t="shared" si="41"/>
        <v/>
      </c>
      <c r="R203" t="str">
        <f t="shared" si="42"/>
        <v/>
      </c>
      <c r="AB203" t="s">
        <v>695</v>
      </c>
      <c r="AC203" t="s">
        <v>1244</v>
      </c>
      <c r="AD203" t="s">
        <v>5153</v>
      </c>
      <c r="AE203" t="s">
        <v>5154</v>
      </c>
      <c r="AF203" t="s">
        <v>5179</v>
      </c>
      <c r="AG203" t="s">
        <v>5180</v>
      </c>
    </row>
    <row r="204" spans="1:33">
      <c r="A204" s="85" t="str">
        <f>IF(C204="","",VLOOKUP('OPĆI DIO'!$C$3,'OPĆI DIO'!$L$6:$U$138,10,FALSE))</f>
        <v/>
      </c>
      <c r="B204" s="85" t="str">
        <f>IF(C204="","",VLOOKUP('OPĆI DIO'!$C$3,'OPĆI DIO'!$L$6:$U$138,9,FALSE))</f>
        <v/>
      </c>
      <c r="C204" s="90"/>
      <c r="D204" s="85" t="str">
        <f t="shared" si="35"/>
        <v/>
      </c>
      <c r="E204" s="90"/>
      <c r="F204" s="85" t="str">
        <f t="shared" si="36"/>
        <v/>
      </c>
      <c r="G204" s="123"/>
      <c r="H204" s="85" t="str">
        <f t="shared" si="37"/>
        <v/>
      </c>
      <c r="I204" s="85" t="str">
        <f t="shared" si="38"/>
        <v/>
      </c>
      <c r="J204" s="122"/>
      <c r="K204" s="122"/>
      <c r="L204" s="122"/>
      <c r="M204" s="89"/>
      <c r="O204" t="str">
        <f t="shared" si="39"/>
        <v/>
      </c>
      <c r="P204" t="str">
        <f t="shared" si="40"/>
        <v/>
      </c>
      <c r="Q204" t="str">
        <f t="shared" si="41"/>
        <v/>
      </c>
      <c r="R204" t="str">
        <f t="shared" si="42"/>
        <v/>
      </c>
      <c r="AB204" t="s">
        <v>696</v>
      </c>
      <c r="AC204" t="s">
        <v>697</v>
      </c>
      <c r="AD204" t="s">
        <v>5153</v>
      </c>
      <c r="AE204" t="s">
        <v>5154</v>
      </c>
      <c r="AF204" t="s">
        <v>5179</v>
      </c>
      <c r="AG204" t="s">
        <v>5180</v>
      </c>
    </row>
    <row r="205" spans="1:33">
      <c r="A205" s="85" t="str">
        <f>IF(C205="","",VLOOKUP('OPĆI DIO'!$C$3,'OPĆI DIO'!$L$6:$U$138,10,FALSE))</f>
        <v/>
      </c>
      <c r="B205" s="85" t="str">
        <f>IF(C205="","",VLOOKUP('OPĆI DIO'!$C$3,'OPĆI DIO'!$L$6:$U$138,9,FALSE))</f>
        <v/>
      </c>
      <c r="C205" s="90"/>
      <c r="D205" s="85" t="str">
        <f t="shared" si="35"/>
        <v/>
      </c>
      <c r="E205" s="90"/>
      <c r="F205" s="85" t="str">
        <f t="shared" si="36"/>
        <v/>
      </c>
      <c r="G205" s="123"/>
      <c r="H205" s="85" t="str">
        <f t="shared" si="37"/>
        <v/>
      </c>
      <c r="I205" s="85" t="str">
        <f t="shared" si="38"/>
        <v/>
      </c>
      <c r="J205" s="122"/>
      <c r="K205" s="122"/>
      <c r="L205" s="122"/>
      <c r="M205" s="89"/>
      <c r="O205" t="str">
        <f t="shared" si="39"/>
        <v/>
      </c>
      <c r="P205" t="str">
        <f t="shared" si="40"/>
        <v/>
      </c>
      <c r="Q205" t="str">
        <f t="shared" si="41"/>
        <v/>
      </c>
      <c r="R205" t="str">
        <f t="shared" si="42"/>
        <v/>
      </c>
      <c r="AB205" t="s">
        <v>698</v>
      </c>
      <c r="AC205" t="s">
        <v>683</v>
      </c>
      <c r="AD205" t="s">
        <v>5153</v>
      </c>
      <c r="AE205" t="s">
        <v>5154</v>
      </c>
      <c r="AF205" t="s">
        <v>5179</v>
      </c>
      <c r="AG205" t="s">
        <v>5180</v>
      </c>
    </row>
    <row r="206" spans="1:33">
      <c r="A206" s="85" t="str">
        <f>IF(C206="","",VLOOKUP('OPĆI DIO'!$C$3,'OPĆI DIO'!$L$6:$U$138,10,FALSE))</f>
        <v/>
      </c>
      <c r="B206" s="85" t="str">
        <f>IF(C206="","",VLOOKUP('OPĆI DIO'!$C$3,'OPĆI DIO'!$L$6:$U$138,9,FALSE))</f>
        <v/>
      </c>
      <c r="C206" s="90"/>
      <c r="D206" s="85" t="str">
        <f t="shared" si="35"/>
        <v/>
      </c>
      <c r="E206" s="90"/>
      <c r="F206" s="85" t="str">
        <f t="shared" si="36"/>
        <v/>
      </c>
      <c r="G206" s="123"/>
      <c r="H206" s="85" t="str">
        <f t="shared" si="37"/>
        <v/>
      </c>
      <c r="I206" s="85" t="str">
        <f t="shared" si="38"/>
        <v/>
      </c>
      <c r="J206" s="122"/>
      <c r="K206" s="122"/>
      <c r="L206" s="122"/>
      <c r="M206" s="89"/>
      <c r="O206" t="str">
        <f t="shared" si="39"/>
        <v/>
      </c>
      <c r="P206" t="str">
        <f t="shared" si="40"/>
        <v/>
      </c>
      <c r="Q206" t="str">
        <f t="shared" si="41"/>
        <v/>
      </c>
      <c r="R206" t="str">
        <f t="shared" si="42"/>
        <v/>
      </c>
      <c r="AB206" t="s">
        <v>1996</v>
      </c>
      <c r="AC206" t="s">
        <v>1997</v>
      </c>
      <c r="AD206" t="s">
        <v>5153</v>
      </c>
      <c r="AE206" t="s">
        <v>5154</v>
      </c>
      <c r="AF206" t="s">
        <v>5179</v>
      </c>
      <c r="AG206" t="s">
        <v>5180</v>
      </c>
    </row>
    <row r="207" spans="1:33">
      <c r="A207" s="85" t="str">
        <f>IF(C207="","",VLOOKUP('OPĆI DIO'!$C$3,'OPĆI DIO'!$L$6:$U$138,10,FALSE))</f>
        <v/>
      </c>
      <c r="B207" s="85" t="str">
        <f>IF(C207="","",VLOOKUP('OPĆI DIO'!$C$3,'OPĆI DIO'!$L$6:$U$138,9,FALSE))</f>
        <v/>
      </c>
      <c r="C207" s="90"/>
      <c r="D207" s="85" t="str">
        <f t="shared" si="35"/>
        <v/>
      </c>
      <c r="E207" s="90"/>
      <c r="F207" s="85" t="str">
        <f t="shared" si="36"/>
        <v/>
      </c>
      <c r="G207" s="123"/>
      <c r="H207" s="85" t="str">
        <f t="shared" si="37"/>
        <v/>
      </c>
      <c r="I207" s="85" t="str">
        <f t="shared" si="38"/>
        <v/>
      </c>
      <c r="J207" s="122"/>
      <c r="K207" s="122"/>
      <c r="L207" s="122"/>
      <c r="M207" s="89"/>
      <c r="O207" t="str">
        <f t="shared" si="39"/>
        <v/>
      </c>
      <c r="P207" t="str">
        <f t="shared" si="40"/>
        <v/>
      </c>
      <c r="Q207" t="str">
        <f t="shared" si="41"/>
        <v/>
      </c>
      <c r="R207" t="str">
        <f t="shared" si="42"/>
        <v/>
      </c>
      <c r="AB207" t="s">
        <v>1998</v>
      </c>
      <c r="AC207" t="s">
        <v>3482</v>
      </c>
      <c r="AD207" t="s">
        <v>5153</v>
      </c>
      <c r="AE207" t="s">
        <v>5154</v>
      </c>
      <c r="AF207" t="s">
        <v>5179</v>
      </c>
      <c r="AG207" t="s">
        <v>5180</v>
      </c>
    </row>
    <row r="208" spans="1:33">
      <c r="A208" s="85" t="str">
        <f>IF(C208="","",VLOOKUP('OPĆI DIO'!$C$3,'OPĆI DIO'!$L$6:$U$138,10,FALSE))</f>
        <v/>
      </c>
      <c r="B208" s="85" t="str">
        <f>IF(C208="","",VLOOKUP('OPĆI DIO'!$C$3,'OPĆI DIO'!$L$6:$U$138,9,FALSE))</f>
        <v/>
      </c>
      <c r="C208" s="90"/>
      <c r="D208" s="85" t="str">
        <f t="shared" si="35"/>
        <v/>
      </c>
      <c r="E208" s="90"/>
      <c r="F208" s="85" t="str">
        <f t="shared" si="36"/>
        <v/>
      </c>
      <c r="G208" s="123"/>
      <c r="H208" s="85" t="str">
        <f t="shared" si="37"/>
        <v/>
      </c>
      <c r="I208" s="85" t="str">
        <f t="shared" si="38"/>
        <v/>
      </c>
      <c r="J208" s="122"/>
      <c r="K208" s="122"/>
      <c r="L208" s="122"/>
      <c r="M208" s="89"/>
      <c r="O208" t="str">
        <f t="shared" si="39"/>
        <v/>
      </c>
      <c r="P208" t="str">
        <f t="shared" si="40"/>
        <v/>
      </c>
      <c r="Q208" t="str">
        <f t="shared" si="41"/>
        <v/>
      </c>
      <c r="R208" t="str">
        <f t="shared" si="42"/>
        <v/>
      </c>
      <c r="AB208" t="s">
        <v>3497</v>
      </c>
      <c r="AC208" t="s">
        <v>3498</v>
      </c>
      <c r="AD208" t="s">
        <v>5153</v>
      </c>
      <c r="AE208" t="s">
        <v>5154</v>
      </c>
      <c r="AF208" t="s">
        <v>5179</v>
      </c>
      <c r="AG208" t="s">
        <v>5180</v>
      </c>
    </row>
    <row r="209" spans="1:33">
      <c r="A209" s="85" t="str">
        <f>IF(C209="","",VLOOKUP('OPĆI DIO'!$C$3,'OPĆI DIO'!$L$6:$U$138,10,FALSE))</f>
        <v/>
      </c>
      <c r="B209" s="85" t="str">
        <f>IF(C209="","",VLOOKUP('OPĆI DIO'!$C$3,'OPĆI DIO'!$L$6:$U$138,9,FALSE))</f>
        <v/>
      </c>
      <c r="C209" s="90"/>
      <c r="D209" s="85" t="str">
        <f t="shared" si="35"/>
        <v/>
      </c>
      <c r="E209" s="90"/>
      <c r="F209" s="85" t="str">
        <f t="shared" si="36"/>
        <v/>
      </c>
      <c r="G209" s="123"/>
      <c r="H209" s="85" t="str">
        <f t="shared" si="37"/>
        <v/>
      </c>
      <c r="I209" s="85" t="str">
        <f t="shared" si="38"/>
        <v/>
      </c>
      <c r="J209" s="122"/>
      <c r="K209" s="122"/>
      <c r="L209" s="122"/>
      <c r="M209" s="89"/>
      <c r="O209" t="str">
        <f t="shared" si="39"/>
        <v/>
      </c>
      <c r="P209" t="str">
        <f t="shared" si="40"/>
        <v/>
      </c>
      <c r="Q209" t="str">
        <f t="shared" si="41"/>
        <v/>
      </c>
      <c r="R209" t="str">
        <f t="shared" si="42"/>
        <v/>
      </c>
      <c r="AB209" t="s">
        <v>967</v>
      </c>
      <c r="AC209" t="s">
        <v>968</v>
      </c>
      <c r="AD209" t="s">
        <v>5153</v>
      </c>
      <c r="AE209" t="s">
        <v>5154</v>
      </c>
      <c r="AF209" t="s">
        <v>5179</v>
      </c>
      <c r="AG209" t="s">
        <v>5180</v>
      </c>
    </row>
    <row r="210" spans="1:33">
      <c r="A210" s="85" t="str">
        <f>IF(C210="","",VLOOKUP('OPĆI DIO'!$C$3,'OPĆI DIO'!$L$6:$U$138,10,FALSE))</f>
        <v/>
      </c>
      <c r="B210" s="85" t="str">
        <f>IF(C210="","",VLOOKUP('OPĆI DIO'!$C$3,'OPĆI DIO'!$L$6:$U$138,9,FALSE))</f>
        <v/>
      </c>
      <c r="C210" s="90"/>
      <c r="D210" s="85" t="str">
        <f t="shared" si="35"/>
        <v/>
      </c>
      <c r="E210" s="90"/>
      <c r="F210" s="85" t="str">
        <f t="shared" si="36"/>
        <v/>
      </c>
      <c r="G210" s="123"/>
      <c r="H210" s="85" t="str">
        <f t="shared" si="37"/>
        <v/>
      </c>
      <c r="I210" s="85" t="str">
        <f t="shared" si="38"/>
        <v/>
      </c>
      <c r="J210" s="122"/>
      <c r="K210" s="122"/>
      <c r="L210" s="122"/>
      <c r="M210" s="89"/>
      <c r="O210" t="str">
        <f t="shared" si="39"/>
        <v/>
      </c>
      <c r="P210" t="str">
        <f t="shared" si="40"/>
        <v/>
      </c>
      <c r="Q210" t="str">
        <f t="shared" si="41"/>
        <v/>
      </c>
      <c r="R210" t="str">
        <f t="shared" si="42"/>
        <v/>
      </c>
      <c r="AB210" t="s">
        <v>969</v>
      </c>
      <c r="AC210" t="s">
        <v>3499</v>
      </c>
      <c r="AD210" t="s">
        <v>5153</v>
      </c>
      <c r="AE210" t="s">
        <v>5154</v>
      </c>
      <c r="AF210" t="s">
        <v>5179</v>
      </c>
      <c r="AG210" t="s">
        <v>5180</v>
      </c>
    </row>
    <row r="211" spans="1:33">
      <c r="A211" s="85" t="str">
        <f>IF(C211="","",VLOOKUP('OPĆI DIO'!$C$3,'OPĆI DIO'!$L$6:$U$138,10,FALSE))</f>
        <v/>
      </c>
      <c r="B211" s="85" t="str">
        <f>IF(C211="","",VLOOKUP('OPĆI DIO'!$C$3,'OPĆI DIO'!$L$6:$U$138,9,FALSE))</f>
        <v/>
      </c>
      <c r="C211" s="90"/>
      <c r="D211" s="85" t="str">
        <f t="shared" si="35"/>
        <v/>
      </c>
      <c r="E211" s="90"/>
      <c r="F211" s="85" t="str">
        <f t="shared" si="36"/>
        <v/>
      </c>
      <c r="G211" s="123"/>
      <c r="H211" s="85" t="str">
        <f t="shared" si="37"/>
        <v/>
      </c>
      <c r="I211" s="85" t="str">
        <f t="shared" si="38"/>
        <v/>
      </c>
      <c r="J211" s="122"/>
      <c r="K211" s="122"/>
      <c r="L211" s="122"/>
      <c r="M211" s="89"/>
      <c r="O211" t="str">
        <f t="shared" si="39"/>
        <v/>
      </c>
      <c r="P211" t="str">
        <f t="shared" si="40"/>
        <v/>
      </c>
      <c r="Q211" t="str">
        <f t="shared" si="41"/>
        <v/>
      </c>
      <c r="R211" t="str">
        <f t="shared" si="42"/>
        <v/>
      </c>
      <c r="AB211" t="s">
        <v>972</v>
      </c>
      <c r="AC211" t="s">
        <v>973</v>
      </c>
      <c r="AD211" t="s">
        <v>5161</v>
      </c>
      <c r="AE211" t="s">
        <v>5162</v>
      </c>
      <c r="AF211" t="s">
        <v>5178</v>
      </c>
      <c r="AG211" t="s">
        <v>5183</v>
      </c>
    </row>
    <row r="212" spans="1:33">
      <c r="A212" s="85" t="str">
        <f>IF(C212="","",VLOOKUP('OPĆI DIO'!$C$3,'OPĆI DIO'!$L$6:$U$138,10,FALSE))</f>
        <v/>
      </c>
      <c r="B212" s="85" t="str">
        <f>IF(C212="","",VLOOKUP('OPĆI DIO'!$C$3,'OPĆI DIO'!$L$6:$U$138,9,FALSE))</f>
        <v/>
      </c>
      <c r="C212" s="90"/>
      <c r="D212" s="85" t="str">
        <f t="shared" si="35"/>
        <v/>
      </c>
      <c r="E212" s="90"/>
      <c r="F212" s="85" t="str">
        <f t="shared" si="36"/>
        <v/>
      </c>
      <c r="G212" s="123"/>
      <c r="H212" s="85" t="str">
        <f t="shared" si="37"/>
        <v/>
      </c>
      <c r="I212" s="85" t="str">
        <f t="shared" si="38"/>
        <v/>
      </c>
      <c r="J212" s="122"/>
      <c r="K212" s="122"/>
      <c r="L212" s="122"/>
      <c r="M212" s="89"/>
      <c r="O212" t="str">
        <f t="shared" si="39"/>
        <v/>
      </c>
      <c r="P212" t="str">
        <f t="shared" si="40"/>
        <v/>
      </c>
      <c r="Q212" t="str">
        <f t="shared" si="41"/>
        <v/>
      </c>
      <c r="R212" t="str">
        <f t="shared" si="42"/>
        <v/>
      </c>
      <c r="AB212" t="s">
        <v>974</v>
      </c>
      <c r="AC212" t="s">
        <v>975</v>
      </c>
      <c r="AD212" t="s">
        <v>5161</v>
      </c>
      <c r="AE212" t="s">
        <v>5162</v>
      </c>
      <c r="AF212" t="s">
        <v>5178</v>
      </c>
      <c r="AG212" t="s">
        <v>5183</v>
      </c>
    </row>
    <row r="213" spans="1:33">
      <c r="A213" s="85" t="str">
        <f>IF(C213="","",VLOOKUP('OPĆI DIO'!$C$3,'OPĆI DIO'!$L$6:$U$138,10,FALSE))</f>
        <v/>
      </c>
      <c r="B213" s="85" t="str">
        <f>IF(C213="","",VLOOKUP('OPĆI DIO'!$C$3,'OPĆI DIO'!$L$6:$U$138,9,FALSE))</f>
        <v/>
      </c>
      <c r="C213" s="90"/>
      <c r="D213" s="85" t="str">
        <f t="shared" si="35"/>
        <v/>
      </c>
      <c r="E213" s="90"/>
      <c r="F213" s="85" t="str">
        <f t="shared" si="36"/>
        <v/>
      </c>
      <c r="G213" s="123"/>
      <c r="H213" s="85" t="str">
        <f t="shared" si="37"/>
        <v/>
      </c>
      <c r="I213" s="85" t="str">
        <f t="shared" si="38"/>
        <v/>
      </c>
      <c r="J213" s="122"/>
      <c r="K213" s="122"/>
      <c r="L213" s="122"/>
      <c r="M213" s="89"/>
      <c r="O213" t="str">
        <f t="shared" si="39"/>
        <v/>
      </c>
      <c r="P213" t="str">
        <f t="shared" si="40"/>
        <v/>
      </c>
      <c r="Q213" t="str">
        <f t="shared" si="41"/>
        <v/>
      </c>
      <c r="R213" t="str">
        <f t="shared" si="42"/>
        <v/>
      </c>
      <c r="AB213" t="s">
        <v>976</v>
      </c>
      <c r="AC213" t="s">
        <v>1245</v>
      </c>
      <c r="AD213" t="s">
        <v>5161</v>
      </c>
      <c r="AE213" t="s">
        <v>5162</v>
      </c>
      <c r="AF213" t="s">
        <v>5178</v>
      </c>
      <c r="AG213" t="s">
        <v>5183</v>
      </c>
    </row>
    <row r="214" spans="1:33">
      <c r="A214" s="85" t="str">
        <f>IF(C214="","",VLOOKUP('OPĆI DIO'!$C$3,'OPĆI DIO'!$L$6:$U$138,10,FALSE))</f>
        <v/>
      </c>
      <c r="B214" s="85" t="str">
        <f>IF(C214="","",VLOOKUP('OPĆI DIO'!$C$3,'OPĆI DIO'!$L$6:$U$138,9,FALSE))</f>
        <v/>
      </c>
      <c r="C214" s="90"/>
      <c r="D214" s="85" t="str">
        <f t="shared" si="35"/>
        <v/>
      </c>
      <c r="E214" s="90"/>
      <c r="F214" s="85" t="str">
        <f t="shared" si="36"/>
        <v/>
      </c>
      <c r="G214" s="123"/>
      <c r="H214" s="85" t="str">
        <f t="shared" si="37"/>
        <v/>
      </c>
      <c r="I214" s="85" t="str">
        <f t="shared" si="38"/>
        <v/>
      </c>
      <c r="J214" s="122"/>
      <c r="K214" s="122"/>
      <c r="L214" s="122"/>
      <c r="M214" s="89"/>
      <c r="O214" t="str">
        <f t="shared" si="39"/>
        <v/>
      </c>
      <c r="P214" t="str">
        <f t="shared" si="40"/>
        <v/>
      </c>
      <c r="Q214" t="str">
        <f t="shared" si="41"/>
        <v/>
      </c>
      <c r="R214" t="str">
        <f t="shared" si="42"/>
        <v/>
      </c>
      <c r="AB214" t="s">
        <v>977</v>
      </c>
      <c r="AC214" t="s">
        <v>978</v>
      </c>
      <c r="AD214" t="s">
        <v>5161</v>
      </c>
      <c r="AE214" t="s">
        <v>5162</v>
      </c>
      <c r="AF214" t="s">
        <v>5178</v>
      </c>
      <c r="AG214" t="s">
        <v>5183</v>
      </c>
    </row>
    <row r="215" spans="1:33">
      <c r="A215" s="85" t="str">
        <f>IF(C215="","",VLOOKUP('OPĆI DIO'!$C$3,'OPĆI DIO'!$L$6:$U$138,10,FALSE))</f>
        <v/>
      </c>
      <c r="B215" s="85" t="str">
        <f>IF(C215="","",VLOOKUP('OPĆI DIO'!$C$3,'OPĆI DIO'!$L$6:$U$138,9,FALSE))</f>
        <v/>
      </c>
      <c r="C215" s="90"/>
      <c r="D215" s="85" t="str">
        <f t="shared" si="35"/>
        <v/>
      </c>
      <c r="E215" s="90"/>
      <c r="F215" s="85" t="str">
        <f t="shared" si="36"/>
        <v/>
      </c>
      <c r="G215" s="123"/>
      <c r="H215" s="85" t="str">
        <f t="shared" si="37"/>
        <v/>
      </c>
      <c r="I215" s="85" t="str">
        <f t="shared" si="38"/>
        <v/>
      </c>
      <c r="J215" s="122"/>
      <c r="K215" s="122"/>
      <c r="L215" s="122"/>
      <c r="M215" s="89"/>
      <c r="O215" t="str">
        <f t="shared" si="39"/>
        <v/>
      </c>
      <c r="P215" t="str">
        <f t="shared" si="40"/>
        <v/>
      </c>
      <c r="Q215" t="str">
        <f t="shared" si="41"/>
        <v/>
      </c>
      <c r="R215" t="str">
        <f t="shared" si="42"/>
        <v/>
      </c>
      <c r="AB215" t="s">
        <v>981</v>
      </c>
      <c r="AC215" t="s">
        <v>982</v>
      </c>
      <c r="AD215" t="s">
        <v>5173</v>
      </c>
      <c r="AE215" t="s">
        <v>5174</v>
      </c>
      <c r="AF215" t="s">
        <v>5179</v>
      </c>
      <c r="AG215" t="s">
        <v>5191</v>
      </c>
    </row>
    <row r="216" spans="1:33">
      <c r="A216" s="85" t="str">
        <f>IF(C216="","",VLOOKUP('OPĆI DIO'!$C$3,'OPĆI DIO'!$L$6:$U$138,10,FALSE))</f>
        <v/>
      </c>
      <c r="B216" s="85" t="str">
        <f>IF(C216="","",VLOOKUP('OPĆI DIO'!$C$3,'OPĆI DIO'!$L$6:$U$138,9,FALSE))</f>
        <v/>
      </c>
      <c r="C216" s="90"/>
      <c r="D216" s="85" t="str">
        <f t="shared" si="35"/>
        <v/>
      </c>
      <c r="E216" s="90"/>
      <c r="F216" s="85" t="str">
        <f t="shared" si="36"/>
        <v/>
      </c>
      <c r="G216" s="123"/>
      <c r="H216" s="85" t="str">
        <f t="shared" si="37"/>
        <v/>
      </c>
      <c r="I216" s="85" t="str">
        <f t="shared" si="38"/>
        <v/>
      </c>
      <c r="J216" s="122"/>
      <c r="K216" s="122"/>
      <c r="L216" s="122"/>
      <c r="M216" s="89"/>
      <c r="O216" t="str">
        <f t="shared" si="39"/>
        <v/>
      </c>
      <c r="P216" t="str">
        <f t="shared" si="40"/>
        <v/>
      </c>
      <c r="Q216" t="str">
        <f t="shared" si="41"/>
        <v/>
      </c>
      <c r="R216" t="str">
        <f t="shared" si="42"/>
        <v/>
      </c>
      <c r="AB216" t="s">
        <v>983</v>
      </c>
      <c r="AC216" t="s">
        <v>984</v>
      </c>
      <c r="AD216" t="s">
        <v>5173</v>
      </c>
      <c r="AE216" t="s">
        <v>5174</v>
      </c>
      <c r="AF216" t="s">
        <v>5179</v>
      </c>
      <c r="AG216" t="s">
        <v>5191</v>
      </c>
    </row>
    <row r="217" spans="1:33">
      <c r="A217" s="85" t="str">
        <f>IF(C217="","",VLOOKUP('OPĆI DIO'!$C$3,'OPĆI DIO'!$L$6:$U$138,10,FALSE))</f>
        <v/>
      </c>
      <c r="B217" s="85" t="str">
        <f>IF(C217="","",VLOOKUP('OPĆI DIO'!$C$3,'OPĆI DIO'!$L$6:$U$138,9,FALSE))</f>
        <v/>
      </c>
      <c r="C217" s="90"/>
      <c r="D217" s="85" t="str">
        <f t="shared" si="35"/>
        <v/>
      </c>
      <c r="E217" s="90"/>
      <c r="F217" s="85" t="str">
        <f t="shared" si="36"/>
        <v/>
      </c>
      <c r="G217" s="123"/>
      <c r="H217" s="85" t="str">
        <f t="shared" si="37"/>
        <v/>
      </c>
      <c r="I217" s="85" t="str">
        <f t="shared" si="38"/>
        <v/>
      </c>
      <c r="J217" s="122"/>
      <c r="K217" s="122"/>
      <c r="L217" s="122"/>
      <c r="M217" s="89"/>
      <c r="O217" t="str">
        <f t="shared" si="39"/>
        <v/>
      </c>
      <c r="P217" t="str">
        <f t="shared" si="40"/>
        <v/>
      </c>
      <c r="Q217" t="str">
        <f t="shared" si="41"/>
        <v/>
      </c>
      <c r="R217" t="str">
        <f t="shared" si="42"/>
        <v/>
      </c>
      <c r="AB217" t="s">
        <v>985</v>
      </c>
      <c r="AC217" t="s">
        <v>986</v>
      </c>
      <c r="AD217" t="s">
        <v>5175</v>
      </c>
      <c r="AE217" t="s">
        <v>5176</v>
      </c>
      <c r="AF217" t="s">
        <v>5181</v>
      </c>
      <c r="AG217" t="s">
        <v>5182</v>
      </c>
    </row>
    <row r="218" spans="1:33">
      <c r="A218" s="85" t="str">
        <f>IF(C218="","",VLOOKUP('OPĆI DIO'!$C$3,'OPĆI DIO'!$L$6:$U$138,10,FALSE))</f>
        <v/>
      </c>
      <c r="B218" s="85" t="str">
        <f>IF(C218="","",VLOOKUP('OPĆI DIO'!$C$3,'OPĆI DIO'!$L$6:$U$138,9,FALSE))</f>
        <v/>
      </c>
      <c r="C218" s="90"/>
      <c r="D218" s="85" t="str">
        <f t="shared" si="35"/>
        <v/>
      </c>
      <c r="E218" s="90"/>
      <c r="F218" s="85" t="str">
        <f t="shared" si="36"/>
        <v/>
      </c>
      <c r="G218" s="123"/>
      <c r="H218" s="85" t="str">
        <f t="shared" si="37"/>
        <v/>
      </c>
      <c r="I218" s="85" t="str">
        <f t="shared" si="38"/>
        <v/>
      </c>
      <c r="J218" s="122"/>
      <c r="K218" s="122"/>
      <c r="L218" s="122"/>
      <c r="M218" s="89"/>
      <c r="O218" t="str">
        <f t="shared" si="39"/>
        <v/>
      </c>
      <c r="P218" t="str">
        <f t="shared" si="40"/>
        <v/>
      </c>
      <c r="Q218" t="str">
        <f t="shared" si="41"/>
        <v/>
      </c>
      <c r="R218" t="str">
        <f t="shared" si="42"/>
        <v/>
      </c>
      <c r="AB218" t="s">
        <v>987</v>
      </c>
      <c r="AC218" t="s">
        <v>988</v>
      </c>
      <c r="AD218" t="s">
        <v>5173</v>
      </c>
      <c r="AE218" t="s">
        <v>5174</v>
      </c>
      <c r="AF218" t="s">
        <v>5179</v>
      </c>
      <c r="AG218" t="s">
        <v>5191</v>
      </c>
    </row>
    <row r="219" spans="1:33">
      <c r="A219" s="85" t="str">
        <f>IF(C219="","",VLOOKUP('OPĆI DIO'!$C$3,'OPĆI DIO'!$L$6:$U$138,10,FALSE))</f>
        <v/>
      </c>
      <c r="B219" s="85" t="str">
        <f>IF(C219="","",VLOOKUP('OPĆI DIO'!$C$3,'OPĆI DIO'!$L$6:$U$138,9,FALSE))</f>
        <v/>
      </c>
      <c r="C219" s="90"/>
      <c r="D219" s="85" t="str">
        <f t="shared" si="35"/>
        <v/>
      </c>
      <c r="E219" s="90"/>
      <c r="F219" s="85" t="str">
        <f t="shared" si="36"/>
        <v/>
      </c>
      <c r="G219" s="123"/>
      <c r="H219" s="85" t="str">
        <f t="shared" si="37"/>
        <v/>
      </c>
      <c r="I219" s="85" t="str">
        <f t="shared" si="38"/>
        <v/>
      </c>
      <c r="J219" s="122"/>
      <c r="K219" s="122"/>
      <c r="L219" s="122"/>
      <c r="M219" s="89"/>
      <c r="O219" t="str">
        <f t="shared" si="39"/>
        <v/>
      </c>
      <c r="P219" t="str">
        <f t="shared" si="40"/>
        <v/>
      </c>
      <c r="Q219" t="str">
        <f t="shared" si="41"/>
        <v/>
      </c>
      <c r="R219" t="str">
        <f t="shared" si="42"/>
        <v/>
      </c>
      <c r="AB219" t="s">
        <v>989</v>
      </c>
      <c r="AC219" t="s">
        <v>990</v>
      </c>
      <c r="AD219" t="s">
        <v>5173</v>
      </c>
      <c r="AE219" t="s">
        <v>5174</v>
      </c>
      <c r="AF219" t="s">
        <v>5179</v>
      </c>
      <c r="AG219" t="s">
        <v>5191</v>
      </c>
    </row>
    <row r="220" spans="1:33">
      <c r="A220" s="85" t="str">
        <f>IF(C220="","",VLOOKUP('OPĆI DIO'!$C$3,'OPĆI DIO'!$L$6:$U$138,10,FALSE))</f>
        <v/>
      </c>
      <c r="B220" s="85" t="str">
        <f>IF(C220="","",VLOOKUP('OPĆI DIO'!$C$3,'OPĆI DIO'!$L$6:$U$138,9,FALSE))</f>
        <v/>
      </c>
      <c r="C220" s="90"/>
      <c r="D220" s="85" t="str">
        <f t="shared" si="35"/>
        <v/>
      </c>
      <c r="E220" s="90"/>
      <c r="F220" s="85" t="str">
        <f t="shared" si="36"/>
        <v/>
      </c>
      <c r="G220" s="123"/>
      <c r="H220" s="85" t="str">
        <f t="shared" si="37"/>
        <v/>
      </c>
      <c r="I220" s="85" t="str">
        <f t="shared" si="38"/>
        <v/>
      </c>
      <c r="J220" s="122"/>
      <c r="K220" s="122"/>
      <c r="L220" s="122"/>
      <c r="M220" s="89"/>
      <c r="O220" t="str">
        <f t="shared" si="39"/>
        <v/>
      </c>
      <c r="P220" t="str">
        <f t="shared" si="40"/>
        <v/>
      </c>
      <c r="Q220" t="str">
        <f t="shared" si="41"/>
        <v/>
      </c>
      <c r="R220" t="str">
        <f t="shared" si="42"/>
        <v/>
      </c>
      <c r="AB220" t="s">
        <v>991</v>
      </c>
      <c r="AC220" t="s">
        <v>992</v>
      </c>
      <c r="AD220" t="s">
        <v>5173</v>
      </c>
      <c r="AE220" t="s">
        <v>5174</v>
      </c>
      <c r="AF220" t="s">
        <v>5179</v>
      </c>
      <c r="AG220" t="s">
        <v>5191</v>
      </c>
    </row>
    <row r="221" spans="1:33">
      <c r="A221" s="85" t="str">
        <f>IF(C221="","",VLOOKUP('OPĆI DIO'!$C$3,'OPĆI DIO'!$L$6:$U$138,10,FALSE))</f>
        <v/>
      </c>
      <c r="B221" s="85" t="str">
        <f>IF(C221="","",VLOOKUP('OPĆI DIO'!$C$3,'OPĆI DIO'!$L$6:$U$138,9,FALSE))</f>
        <v/>
      </c>
      <c r="C221" s="90"/>
      <c r="D221" s="85" t="str">
        <f t="shared" si="35"/>
        <v/>
      </c>
      <c r="E221" s="90"/>
      <c r="F221" s="85" t="str">
        <f t="shared" si="36"/>
        <v/>
      </c>
      <c r="G221" s="123"/>
      <c r="H221" s="85" t="str">
        <f t="shared" si="37"/>
        <v/>
      </c>
      <c r="I221" s="85" t="str">
        <f t="shared" si="38"/>
        <v/>
      </c>
      <c r="J221" s="122"/>
      <c r="K221" s="122"/>
      <c r="L221" s="122"/>
      <c r="M221" s="89"/>
      <c r="O221" t="str">
        <f t="shared" si="39"/>
        <v/>
      </c>
      <c r="P221" t="str">
        <f t="shared" si="40"/>
        <v/>
      </c>
      <c r="Q221" t="str">
        <f t="shared" si="41"/>
        <v/>
      </c>
      <c r="R221" t="str">
        <f t="shared" si="42"/>
        <v/>
      </c>
      <c r="AB221" t="s">
        <v>993</v>
      </c>
      <c r="AC221" t="s">
        <v>994</v>
      </c>
      <c r="AD221" t="s">
        <v>5173</v>
      </c>
      <c r="AE221" t="s">
        <v>5174</v>
      </c>
      <c r="AF221" t="s">
        <v>5179</v>
      </c>
      <c r="AG221" t="s">
        <v>5191</v>
      </c>
    </row>
    <row r="222" spans="1:33">
      <c r="A222" s="85" t="str">
        <f>IF(C222="","",VLOOKUP('OPĆI DIO'!$C$3,'OPĆI DIO'!$L$6:$U$138,10,FALSE))</f>
        <v/>
      </c>
      <c r="B222" s="85" t="str">
        <f>IF(C222="","",VLOOKUP('OPĆI DIO'!$C$3,'OPĆI DIO'!$L$6:$U$138,9,FALSE))</f>
        <v/>
      </c>
      <c r="C222" s="90"/>
      <c r="D222" s="85" t="str">
        <f t="shared" si="35"/>
        <v/>
      </c>
      <c r="E222" s="90"/>
      <c r="F222" s="85" t="str">
        <f t="shared" si="36"/>
        <v/>
      </c>
      <c r="G222" s="123"/>
      <c r="H222" s="85" t="str">
        <f t="shared" si="37"/>
        <v/>
      </c>
      <c r="I222" s="85" t="str">
        <f t="shared" si="38"/>
        <v/>
      </c>
      <c r="J222" s="122"/>
      <c r="K222" s="122"/>
      <c r="L222" s="122"/>
      <c r="M222" s="89"/>
      <c r="O222" t="str">
        <f t="shared" si="39"/>
        <v/>
      </c>
      <c r="P222" t="str">
        <f t="shared" si="40"/>
        <v/>
      </c>
      <c r="Q222" t="str">
        <f t="shared" si="41"/>
        <v/>
      </c>
      <c r="R222" t="str">
        <f t="shared" si="42"/>
        <v/>
      </c>
      <c r="AB222" t="s">
        <v>993</v>
      </c>
      <c r="AC222" t="s">
        <v>994</v>
      </c>
      <c r="AD222" t="s">
        <v>5155</v>
      </c>
      <c r="AE222" t="s">
        <v>5156</v>
      </c>
      <c r="AF222" t="s">
        <v>5177</v>
      </c>
      <c r="AG222" t="s">
        <v>5187</v>
      </c>
    </row>
    <row r="223" spans="1:33">
      <c r="A223" s="85" t="str">
        <f>IF(C223="","",VLOOKUP('OPĆI DIO'!$C$3,'OPĆI DIO'!$L$6:$U$138,10,FALSE))</f>
        <v/>
      </c>
      <c r="B223" s="85" t="str">
        <f>IF(C223="","",VLOOKUP('OPĆI DIO'!$C$3,'OPĆI DIO'!$L$6:$U$138,9,FALSE))</f>
        <v/>
      </c>
      <c r="C223" s="90"/>
      <c r="D223" s="85" t="str">
        <f t="shared" si="35"/>
        <v/>
      </c>
      <c r="E223" s="90"/>
      <c r="F223" s="85" t="str">
        <f t="shared" si="36"/>
        <v/>
      </c>
      <c r="G223" s="123"/>
      <c r="H223" s="85" t="str">
        <f t="shared" si="37"/>
        <v/>
      </c>
      <c r="I223" s="85" t="str">
        <f t="shared" si="38"/>
        <v/>
      </c>
      <c r="J223" s="122"/>
      <c r="K223" s="122"/>
      <c r="L223" s="122"/>
      <c r="M223" s="89"/>
      <c r="O223" t="str">
        <f t="shared" si="39"/>
        <v/>
      </c>
      <c r="P223" t="str">
        <f t="shared" si="40"/>
        <v/>
      </c>
      <c r="Q223" t="str">
        <f t="shared" si="41"/>
        <v/>
      </c>
      <c r="R223" t="str">
        <f t="shared" si="42"/>
        <v/>
      </c>
      <c r="AB223" t="s">
        <v>1659</v>
      </c>
      <c r="AC223" t="s">
        <v>1660</v>
      </c>
      <c r="AD223" t="s">
        <v>5173</v>
      </c>
      <c r="AE223" t="s">
        <v>5174</v>
      </c>
      <c r="AF223" t="s">
        <v>5179</v>
      </c>
      <c r="AG223" t="s">
        <v>5191</v>
      </c>
    </row>
    <row r="224" spans="1:33">
      <c r="A224" s="85" t="str">
        <f>IF(C224="","",VLOOKUP('OPĆI DIO'!$C$3,'OPĆI DIO'!$L$6:$U$138,10,FALSE))</f>
        <v/>
      </c>
      <c r="B224" s="85" t="str">
        <f>IF(C224="","",VLOOKUP('OPĆI DIO'!$C$3,'OPĆI DIO'!$L$6:$U$138,9,FALSE))</f>
        <v/>
      </c>
      <c r="C224" s="90"/>
      <c r="D224" s="85" t="str">
        <f t="shared" si="35"/>
        <v/>
      </c>
      <c r="E224" s="90"/>
      <c r="F224" s="85" t="str">
        <f t="shared" si="36"/>
        <v/>
      </c>
      <c r="G224" s="123"/>
      <c r="H224" s="85" t="str">
        <f t="shared" si="37"/>
        <v/>
      </c>
      <c r="I224" s="85" t="str">
        <f t="shared" si="38"/>
        <v/>
      </c>
      <c r="J224" s="122"/>
      <c r="K224" s="122"/>
      <c r="L224" s="122"/>
      <c r="M224" s="89"/>
      <c r="O224" t="str">
        <f t="shared" si="39"/>
        <v/>
      </c>
      <c r="P224" t="str">
        <f t="shared" si="40"/>
        <v/>
      </c>
      <c r="Q224" t="str">
        <f t="shared" si="41"/>
        <v/>
      </c>
      <c r="R224" t="str">
        <f t="shared" si="42"/>
        <v/>
      </c>
      <c r="AB224" t="s">
        <v>3500</v>
      </c>
      <c r="AC224" t="s">
        <v>3501</v>
      </c>
      <c r="AD224" t="s">
        <v>5173</v>
      </c>
      <c r="AE224" t="s">
        <v>5174</v>
      </c>
      <c r="AF224" t="s">
        <v>5179</v>
      </c>
      <c r="AG224" t="s">
        <v>5191</v>
      </c>
    </row>
    <row r="225" spans="1:33">
      <c r="A225" s="85" t="str">
        <f>IF(C225="","",VLOOKUP('OPĆI DIO'!$C$3,'OPĆI DIO'!$L$6:$U$138,10,FALSE))</f>
        <v/>
      </c>
      <c r="B225" s="85" t="str">
        <f>IF(C225="","",VLOOKUP('OPĆI DIO'!$C$3,'OPĆI DIO'!$L$6:$U$138,9,FALSE))</f>
        <v/>
      </c>
      <c r="C225" s="90"/>
      <c r="D225" s="85" t="str">
        <f t="shared" si="35"/>
        <v/>
      </c>
      <c r="E225" s="90"/>
      <c r="F225" s="85" t="str">
        <f t="shared" si="36"/>
        <v/>
      </c>
      <c r="G225" s="123"/>
      <c r="H225" s="85" t="str">
        <f t="shared" si="37"/>
        <v/>
      </c>
      <c r="I225" s="85" t="str">
        <f t="shared" si="38"/>
        <v/>
      </c>
      <c r="J225" s="122"/>
      <c r="K225" s="122"/>
      <c r="L225" s="122"/>
      <c r="M225" s="89"/>
      <c r="O225" t="str">
        <f t="shared" si="39"/>
        <v/>
      </c>
      <c r="P225" t="str">
        <f t="shared" si="40"/>
        <v/>
      </c>
      <c r="Q225" t="str">
        <f t="shared" si="41"/>
        <v/>
      </c>
      <c r="R225" t="str">
        <f t="shared" si="42"/>
        <v/>
      </c>
      <c r="AB225" t="s">
        <v>995</v>
      </c>
      <c r="AC225" t="s">
        <v>996</v>
      </c>
      <c r="AD225" t="s">
        <v>5173</v>
      </c>
      <c r="AE225" t="s">
        <v>5174</v>
      </c>
      <c r="AF225" t="s">
        <v>5179</v>
      </c>
      <c r="AG225" t="s">
        <v>5191</v>
      </c>
    </row>
    <row r="226" spans="1:33">
      <c r="A226" s="85" t="str">
        <f>IF(C226="","",VLOOKUP('OPĆI DIO'!$C$3,'OPĆI DIO'!$L$6:$U$138,10,FALSE))</f>
        <v/>
      </c>
      <c r="B226" s="85" t="str">
        <f>IF(C226="","",VLOOKUP('OPĆI DIO'!$C$3,'OPĆI DIO'!$L$6:$U$138,9,FALSE))</f>
        <v/>
      </c>
      <c r="C226" s="90"/>
      <c r="D226" s="85" t="str">
        <f t="shared" si="35"/>
        <v/>
      </c>
      <c r="E226" s="90"/>
      <c r="F226" s="85" t="str">
        <f t="shared" si="36"/>
        <v/>
      </c>
      <c r="G226" s="123"/>
      <c r="H226" s="85" t="str">
        <f t="shared" si="37"/>
        <v/>
      </c>
      <c r="I226" s="85" t="str">
        <f t="shared" si="38"/>
        <v/>
      </c>
      <c r="J226" s="122"/>
      <c r="K226" s="122"/>
      <c r="L226" s="122"/>
      <c r="M226" s="89"/>
      <c r="O226" t="str">
        <f t="shared" si="39"/>
        <v/>
      </c>
      <c r="P226" t="str">
        <f t="shared" si="40"/>
        <v/>
      </c>
      <c r="Q226" t="str">
        <f t="shared" si="41"/>
        <v/>
      </c>
      <c r="R226" t="str">
        <f t="shared" si="42"/>
        <v/>
      </c>
      <c r="AB226" t="s">
        <v>997</v>
      </c>
      <c r="AC226" t="s">
        <v>998</v>
      </c>
      <c r="AD226" t="s">
        <v>5173</v>
      </c>
      <c r="AE226" t="s">
        <v>5174</v>
      </c>
      <c r="AF226" t="s">
        <v>5179</v>
      </c>
      <c r="AG226" t="s">
        <v>5191</v>
      </c>
    </row>
    <row r="227" spans="1:33">
      <c r="A227" s="85" t="str">
        <f>IF(C227="","",VLOOKUP('OPĆI DIO'!$C$3,'OPĆI DIO'!$L$6:$U$138,10,FALSE))</f>
        <v/>
      </c>
      <c r="B227" s="85" t="str">
        <f>IF(C227="","",VLOOKUP('OPĆI DIO'!$C$3,'OPĆI DIO'!$L$6:$U$138,9,FALSE))</f>
        <v/>
      </c>
      <c r="C227" s="90"/>
      <c r="D227" s="85" t="str">
        <f t="shared" si="35"/>
        <v/>
      </c>
      <c r="E227" s="90"/>
      <c r="F227" s="85" t="str">
        <f t="shared" si="36"/>
        <v/>
      </c>
      <c r="G227" s="123"/>
      <c r="H227" s="85" t="str">
        <f t="shared" si="37"/>
        <v/>
      </c>
      <c r="I227" s="85" t="str">
        <f t="shared" si="38"/>
        <v/>
      </c>
      <c r="J227" s="122"/>
      <c r="K227" s="122"/>
      <c r="L227" s="122"/>
      <c r="M227" s="89"/>
      <c r="O227" t="str">
        <f t="shared" si="39"/>
        <v/>
      </c>
      <c r="P227" t="str">
        <f t="shared" si="40"/>
        <v/>
      </c>
      <c r="Q227" t="str">
        <f t="shared" si="41"/>
        <v/>
      </c>
      <c r="R227" t="str">
        <f t="shared" si="42"/>
        <v/>
      </c>
      <c r="AB227" t="s">
        <v>999</v>
      </c>
      <c r="AC227" t="s">
        <v>1000</v>
      </c>
      <c r="AD227" t="s">
        <v>5155</v>
      </c>
      <c r="AE227" t="s">
        <v>5156</v>
      </c>
      <c r="AF227" t="s">
        <v>5177</v>
      </c>
      <c r="AG227" t="s">
        <v>5187</v>
      </c>
    </row>
    <row r="228" spans="1:33">
      <c r="A228" s="85" t="str">
        <f>IF(C228="","",VLOOKUP('OPĆI DIO'!$C$3,'OPĆI DIO'!$L$6:$U$138,10,FALSE))</f>
        <v/>
      </c>
      <c r="B228" s="85" t="str">
        <f>IF(C228="","",VLOOKUP('OPĆI DIO'!$C$3,'OPĆI DIO'!$L$6:$U$138,9,FALSE))</f>
        <v/>
      </c>
      <c r="C228" s="90"/>
      <c r="D228" s="85" t="str">
        <f t="shared" si="35"/>
        <v/>
      </c>
      <c r="E228" s="90"/>
      <c r="F228" s="85" t="str">
        <f t="shared" si="36"/>
        <v/>
      </c>
      <c r="G228" s="123"/>
      <c r="H228" s="85" t="str">
        <f t="shared" si="37"/>
        <v/>
      </c>
      <c r="I228" s="85" t="str">
        <f t="shared" si="38"/>
        <v/>
      </c>
      <c r="J228" s="122"/>
      <c r="K228" s="122"/>
      <c r="L228" s="122"/>
      <c r="M228" s="89"/>
      <c r="O228" t="str">
        <f t="shared" si="39"/>
        <v/>
      </c>
      <c r="P228" t="str">
        <f t="shared" si="40"/>
        <v/>
      </c>
      <c r="Q228" t="str">
        <f t="shared" si="41"/>
        <v/>
      </c>
      <c r="R228" t="str">
        <f t="shared" si="42"/>
        <v/>
      </c>
      <c r="AB228" t="s">
        <v>1001</v>
      </c>
      <c r="AC228" t="s">
        <v>1002</v>
      </c>
      <c r="AD228" t="s">
        <v>5155</v>
      </c>
      <c r="AE228" t="s">
        <v>5156</v>
      </c>
      <c r="AF228" t="s">
        <v>5177</v>
      </c>
      <c r="AG228" t="s">
        <v>5187</v>
      </c>
    </row>
    <row r="229" spans="1:33">
      <c r="A229" s="85" t="str">
        <f>IF(C229="","",VLOOKUP('OPĆI DIO'!$C$3,'OPĆI DIO'!$L$6:$U$138,10,FALSE))</f>
        <v/>
      </c>
      <c r="B229" s="85" t="str">
        <f>IF(C229="","",VLOOKUP('OPĆI DIO'!$C$3,'OPĆI DIO'!$L$6:$U$138,9,FALSE))</f>
        <v/>
      </c>
      <c r="C229" s="90"/>
      <c r="D229" s="85" t="str">
        <f t="shared" si="35"/>
        <v/>
      </c>
      <c r="E229" s="90"/>
      <c r="F229" s="85" t="str">
        <f t="shared" si="36"/>
        <v/>
      </c>
      <c r="G229" s="123"/>
      <c r="H229" s="85" t="str">
        <f t="shared" si="37"/>
        <v/>
      </c>
      <c r="I229" s="85" t="str">
        <f t="shared" si="38"/>
        <v/>
      </c>
      <c r="J229" s="122"/>
      <c r="K229" s="122"/>
      <c r="L229" s="122"/>
      <c r="M229" s="89"/>
      <c r="O229" t="str">
        <f t="shared" si="39"/>
        <v/>
      </c>
      <c r="P229" t="str">
        <f t="shared" si="40"/>
        <v/>
      </c>
      <c r="Q229" t="str">
        <f t="shared" si="41"/>
        <v/>
      </c>
      <c r="R229" t="str">
        <f t="shared" si="42"/>
        <v/>
      </c>
      <c r="AB229" t="s">
        <v>3502</v>
      </c>
      <c r="AC229" t="s">
        <v>3503</v>
      </c>
      <c r="AD229" t="s">
        <v>5173</v>
      </c>
      <c r="AE229" t="s">
        <v>5174</v>
      </c>
      <c r="AF229" t="s">
        <v>5179</v>
      </c>
      <c r="AG229" t="s">
        <v>5191</v>
      </c>
    </row>
    <row r="230" spans="1:33">
      <c r="A230" s="85" t="str">
        <f>IF(C230="","",VLOOKUP('OPĆI DIO'!$C$3,'OPĆI DIO'!$L$6:$U$138,10,FALSE))</f>
        <v/>
      </c>
      <c r="B230" s="85" t="str">
        <f>IF(C230="","",VLOOKUP('OPĆI DIO'!$C$3,'OPĆI DIO'!$L$6:$U$138,9,FALSE))</f>
        <v/>
      </c>
      <c r="C230" s="90"/>
      <c r="D230" s="85" t="str">
        <f t="shared" si="35"/>
        <v/>
      </c>
      <c r="E230" s="90"/>
      <c r="F230" s="85" t="str">
        <f t="shared" si="36"/>
        <v/>
      </c>
      <c r="G230" s="123"/>
      <c r="H230" s="85" t="str">
        <f t="shared" si="37"/>
        <v/>
      </c>
      <c r="I230" s="85" t="str">
        <f t="shared" si="38"/>
        <v/>
      </c>
      <c r="J230" s="122"/>
      <c r="K230" s="122"/>
      <c r="L230" s="122"/>
      <c r="M230" s="89"/>
      <c r="O230" t="str">
        <f t="shared" si="39"/>
        <v/>
      </c>
      <c r="P230" t="str">
        <f t="shared" si="40"/>
        <v/>
      </c>
      <c r="Q230" t="str">
        <f t="shared" si="41"/>
        <v/>
      </c>
      <c r="R230" t="str">
        <f t="shared" si="42"/>
        <v/>
      </c>
      <c r="AB230" t="s">
        <v>1005</v>
      </c>
      <c r="AC230" t="s">
        <v>1006</v>
      </c>
      <c r="AD230" t="s">
        <v>5153</v>
      </c>
      <c r="AE230" t="s">
        <v>5154</v>
      </c>
      <c r="AF230" t="s">
        <v>5179</v>
      </c>
      <c r="AG230" t="s">
        <v>5180</v>
      </c>
    </row>
    <row r="231" spans="1:33">
      <c r="A231" s="85" t="str">
        <f>IF(C231="","",VLOOKUP('OPĆI DIO'!$C$3,'OPĆI DIO'!$L$6:$U$138,10,FALSE))</f>
        <v/>
      </c>
      <c r="B231" s="85" t="str">
        <f>IF(C231="","",VLOOKUP('OPĆI DIO'!$C$3,'OPĆI DIO'!$L$6:$U$138,9,FALSE))</f>
        <v/>
      </c>
      <c r="C231" s="90"/>
      <c r="D231" s="85" t="str">
        <f t="shared" si="35"/>
        <v/>
      </c>
      <c r="E231" s="90"/>
      <c r="F231" s="85" t="str">
        <f t="shared" si="36"/>
        <v/>
      </c>
      <c r="G231" s="123"/>
      <c r="H231" s="85" t="str">
        <f t="shared" si="37"/>
        <v/>
      </c>
      <c r="I231" s="85" t="str">
        <f t="shared" si="38"/>
        <v/>
      </c>
      <c r="J231" s="122"/>
      <c r="K231" s="122"/>
      <c r="L231" s="122"/>
      <c r="M231" s="89"/>
      <c r="O231" t="str">
        <f t="shared" si="39"/>
        <v/>
      </c>
      <c r="P231" t="str">
        <f t="shared" si="40"/>
        <v/>
      </c>
      <c r="Q231" t="str">
        <f t="shared" si="41"/>
        <v/>
      </c>
      <c r="R231" t="str">
        <f t="shared" si="42"/>
        <v/>
      </c>
      <c r="AB231" t="s">
        <v>1007</v>
      </c>
      <c r="AC231" t="s">
        <v>1247</v>
      </c>
      <c r="AD231" t="s">
        <v>5153</v>
      </c>
      <c r="AE231" t="s">
        <v>5154</v>
      </c>
      <c r="AF231" t="s">
        <v>5179</v>
      </c>
      <c r="AG231" t="s">
        <v>5180</v>
      </c>
    </row>
    <row r="232" spans="1:33">
      <c r="A232" s="85" t="str">
        <f>IF(C232="","",VLOOKUP('OPĆI DIO'!$C$3,'OPĆI DIO'!$L$6:$U$138,10,FALSE))</f>
        <v/>
      </c>
      <c r="B232" s="85" t="str">
        <f>IF(C232="","",VLOOKUP('OPĆI DIO'!$C$3,'OPĆI DIO'!$L$6:$U$138,9,FALSE))</f>
        <v/>
      </c>
      <c r="C232" s="90"/>
      <c r="D232" s="85" t="str">
        <f t="shared" si="35"/>
        <v/>
      </c>
      <c r="E232" s="90"/>
      <c r="F232" s="85" t="str">
        <f t="shared" si="36"/>
        <v/>
      </c>
      <c r="G232" s="123"/>
      <c r="H232" s="85" t="str">
        <f t="shared" si="37"/>
        <v/>
      </c>
      <c r="I232" s="85" t="str">
        <f t="shared" si="38"/>
        <v/>
      </c>
      <c r="J232" s="122"/>
      <c r="K232" s="122"/>
      <c r="L232" s="122"/>
      <c r="M232" s="89"/>
      <c r="O232" t="str">
        <f t="shared" si="39"/>
        <v/>
      </c>
      <c r="P232" t="str">
        <f t="shared" si="40"/>
        <v/>
      </c>
      <c r="Q232" t="str">
        <f t="shared" si="41"/>
        <v/>
      </c>
      <c r="R232" t="str">
        <f t="shared" si="42"/>
        <v/>
      </c>
      <c r="AB232" t="s">
        <v>1010</v>
      </c>
      <c r="AC232" t="s">
        <v>1011</v>
      </c>
      <c r="AD232" t="s">
        <v>5173</v>
      </c>
      <c r="AE232" t="s">
        <v>5174</v>
      </c>
      <c r="AF232" t="s">
        <v>5179</v>
      </c>
      <c r="AG232" t="s">
        <v>5191</v>
      </c>
    </row>
    <row r="233" spans="1:33">
      <c r="A233" s="85" t="str">
        <f>IF(C233="","",VLOOKUP('OPĆI DIO'!$C$3,'OPĆI DIO'!$L$6:$U$138,10,FALSE))</f>
        <v/>
      </c>
      <c r="B233" s="85" t="str">
        <f>IF(C233="","",VLOOKUP('OPĆI DIO'!$C$3,'OPĆI DIO'!$L$6:$U$138,9,FALSE))</f>
        <v/>
      </c>
      <c r="C233" s="90"/>
      <c r="D233" s="85" t="str">
        <f t="shared" si="35"/>
        <v/>
      </c>
      <c r="E233" s="90"/>
      <c r="F233" s="85" t="str">
        <f t="shared" si="36"/>
        <v/>
      </c>
      <c r="G233" s="123"/>
      <c r="H233" s="85" t="str">
        <f t="shared" si="37"/>
        <v/>
      </c>
      <c r="I233" s="85" t="str">
        <f t="shared" si="38"/>
        <v/>
      </c>
      <c r="J233" s="122"/>
      <c r="K233" s="122"/>
      <c r="L233" s="122"/>
      <c r="M233" s="89"/>
      <c r="O233" t="str">
        <f t="shared" si="39"/>
        <v/>
      </c>
      <c r="P233" t="str">
        <f t="shared" si="40"/>
        <v/>
      </c>
      <c r="Q233" t="str">
        <f t="shared" si="41"/>
        <v/>
      </c>
      <c r="R233" t="str">
        <f t="shared" si="42"/>
        <v/>
      </c>
      <c r="AB233" t="s">
        <v>1012</v>
      </c>
      <c r="AC233" t="s">
        <v>1246</v>
      </c>
      <c r="AD233" t="s">
        <v>5173</v>
      </c>
      <c r="AE233" t="s">
        <v>5174</v>
      </c>
      <c r="AF233" t="s">
        <v>5179</v>
      </c>
      <c r="AG233" t="s">
        <v>5191</v>
      </c>
    </row>
    <row r="234" spans="1:33">
      <c r="A234" s="85" t="str">
        <f>IF(C234="","",VLOOKUP('OPĆI DIO'!$C$3,'OPĆI DIO'!$L$6:$U$138,10,FALSE))</f>
        <v/>
      </c>
      <c r="B234" s="85" t="str">
        <f>IF(C234="","",VLOOKUP('OPĆI DIO'!$C$3,'OPĆI DIO'!$L$6:$U$138,9,FALSE))</f>
        <v/>
      </c>
      <c r="C234" s="90"/>
      <c r="D234" s="85" t="str">
        <f t="shared" si="35"/>
        <v/>
      </c>
      <c r="E234" s="90"/>
      <c r="F234" s="85" t="str">
        <f t="shared" si="36"/>
        <v/>
      </c>
      <c r="G234" s="123"/>
      <c r="H234" s="85" t="str">
        <f t="shared" si="37"/>
        <v/>
      </c>
      <c r="I234" s="85" t="str">
        <f t="shared" si="38"/>
        <v/>
      </c>
      <c r="J234" s="122"/>
      <c r="K234" s="122"/>
      <c r="L234" s="122"/>
      <c r="M234" s="89"/>
      <c r="O234" t="str">
        <f t="shared" si="39"/>
        <v/>
      </c>
      <c r="P234" t="str">
        <f t="shared" si="40"/>
        <v/>
      </c>
      <c r="Q234" t="str">
        <f t="shared" si="41"/>
        <v/>
      </c>
      <c r="R234" t="str">
        <f t="shared" si="42"/>
        <v/>
      </c>
      <c r="AB234" t="s">
        <v>1013</v>
      </c>
      <c r="AC234" t="s">
        <v>1014</v>
      </c>
      <c r="AD234" t="s">
        <v>5173</v>
      </c>
      <c r="AE234" t="s">
        <v>5174</v>
      </c>
      <c r="AF234" t="s">
        <v>5179</v>
      </c>
      <c r="AG234" t="s">
        <v>5191</v>
      </c>
    </row>
    <row r="235" spans="1:33">
      <c r="A235" s="85" t="str">
        <f>IF(C235="","",VLOOKUP('OPĆI DIO'!$C$3,'OPĆI DIO'!$L$6:$U$138,10,FALSE))</f>
        <v/>
      </c>
      <c r="B235" s="85" t="str">
        <f>IF(C235="","",VLOOKUP('OPĆI DIO'!$C$3,'OPĆI DIO'!$L$6:$U$138,9,FALSE))</f>
        <v/>
      </c>
      <c r="C235" s="90"/>
      <c r="D235" s="85" t="str">
        <f t="shared" si="35"/>
        <v/>
      </c>
      <c r="E235" s="90"/>
      <c r="F235" s="85" t="str">
        <f t="shared" si="36"/>
        <v/>
      </c>
      <c r="G235" s="123"/>
      <c r="H235" s="85" t="str">
        <f t="shared" si="37"/>
        <v/>
      </c>
      <c r="I235" s="85" t="str">
        <f t="shared" si="38"/>
        <v/>
      </c>
      <c r="J235" s="122"/>
      <c r="K235" s="122"/>
      <c r="L235" s="122"/>
      <c r="M235" s="89"/>
      <c r="O235" t="str">
        <f t="shared" si="39"/>
        <v/>
      </c>
      <c r="P235" t="str">
        <f t="shared" si="40"/>
        <v/>
      </c>
      <c r="Q235" t="str">
        <f t="shared" si="41"/>
        <v/>
      </c>
      <c r="R235" t="str">
        <f t="shared" si="42"/>
        <v/>
      </c>
      <c r="AB235" t="s">
        <v>1015</v>
      </c>
      <c r="AC235" t="s">
        <v>1248</v>
      </c>
      <c r="AD235" t="s">
        <v>5173</v>
      </c>
      <c r="AE235" t="s">
        <v>5174</v>
      </c>
      <c r="AF235" t="s">
        <v>5179</v>
      </c>
      <c r="AG235" t="s">
        <v>5191</v>
      </c>
    </row>
    <row r="236" spans="1:33">
      <c r="A236" s="85" t="str">
        <f>IF(C236="","",VLOOKUP('OPĆI DIO'!$C$3,'OPĆI DIO'!$L$6:$U$138,10,FALSE))</f>
        <v/>
      </c>
      <c r="B236" s="85" t="str">
        <f>IF(C236="","",VLOOKUP('OPĆI DIO'!$C$3,'OPĆI DIO'!$L$6:$U$138,9,FALSE))</f>
        <v/>
      </c>
      <c r="C236" s="90"/>
      <c r="D236" s="85" t="str">
        <f t="shared" si="35"/>
        <v/>
      </c>
      <c r="E236" s="90"/>
      <c r="F236" s="85" t="str">
        <f t="shared" si="36"/>
        <v/>
      </c>
      <c r="G236" s="123"/>
      <c r="H236" s="85" t="str">
        <f t="shared" si="37"/>
        <v/>
      </c>
      <c r="I236" s="85" t="str">
        <f t="shared" si="38"/>
        <v/>
      </c>
      <c r="J236" s="122"/>
      <c r="K236" s="122"/>
      <c r="L236" s="122"/>
      <c r="M236" s="89"/>
      <c r="O236" t="str">
        <f t="shared" si="39"/>
        <v/>
      </c>
      <c r="P236" t="str">
        <f t="shared" si="40"/>
        <v/>
      </c>
      <c r="Q236" t="str">
        <f t="shared" si="41"/>
        <v/>
      </c>
      <c r="R236" t="str">
        <f t="shared" si="42"/>
        <v/>
      </c>
      <c r="AB236" t="s">
        <v>1016</v>
      </c>
      <c r="AC236" t="s">
        <v>1017</v>
      </c>
      <c r="AD236" t="s">
        <v>5173</v>
      </c>
      <c r="AE236" t="s">
        <v>5174</v>
      </c>
      <c r="AF236" t="s">
        <v>5179</v>
      </c>
      <c r="AG236" t="s">
        <v>5191</v>
      </c>
    </row>
    <row r="237" spans="1:33">
      <c r="A237" s="85" t="str">
        <f>IF(C237="","",VLOOKUP('OPĆI DIO'!$C$3,'OPĆI DIO'!$L$6:$U$138,10,FALSE))</f>
        <v/>
      </c>
      <c r="B237" s="85" t="str">
        <f>IF(C237="","",VLOOKUP('OPĆI DIO'!$C$3,'OPĆI DIO'!$L$6:$U$138,9,FALSE))</f>
        <v/>
      </c>
      <c r="C237" s="90"/>
      <c r="D237" s="85" t="str">
        <f t="shared" si="35"/>
        <v/>
      </c>
      <c r="E237" s="90"/>
      <c r="F237" s="85" t="str">
        <f t="shared" si="36"/>
        <v/>
      </c>
      <c r="G237" s="123"/>
      <c r="H237" s="85" t="str">
        <f t="shared" si="37"/>
        <v/>
      </c>
      <c r="I237" s="85" t="str">
        <f t="shared" si="38"/>
        <v/>
      </c>
      <c r="J237" s="122"/>
      <c r="K237" s="122"/>
      <c r="L237" s="122"/>
      <c r="M237" s="89"/>
      <c r="O237" t="str">
        <f t="shared" si="39"/>
        <v/>
      </c>
      <c r="P237" t="str">
        <f t="shared" si="40"/>
        <v/>
      </c>
      <c r="Q237" t="str">
        <f t="shared" si="41"/>
        <v/>
      </c>
      <c r="R237" t="str">
        <f t="shared" si="42"/>
        <v/>
      </c>
      <c r="AB237" t="s">
        <v>3504</v>
      </c>
      <c r="AC237" t="s">
        <v>3505</v>
      </c>
      <c r="AD237" t="s">
        <v>5173</v>
      </c>
      <c r="AE237" t="s">
        <v>5174</v>
      </c>
      <c r="AF237" t="s">
        <v>5179</v>
      </c>
      <c r="AG237" t="s">
        <v>5191</v>
      </c>
    </row>
    <row r="238" spans="1:33">
      <c r="A238" s="85" t="str">
        <f>IF(C238="","",VLOOKUP('OPĆI DIO'!$C$3,'OPĆI DIO'!$L$6:$U$138,10,FALSE))</f>
        <v/>
      </c>
      <c r="B238" s="85" t="str">
        <f>IF(C238="","",VLOOKUP('OPĆI DIO'!$C$3,'OPĆI DIO'!$L$6:$U$138,9,FALSE))</f>
        <v/>
      </c>
      <c r="C238" s="90"/>
      <c r="D238" s="85" t="str">
        <f t="shared" si="35"/>
        <v/>
      </c>
      <c r="E238" s="90"/>
      <c r="F238" s="85" t="str">
        <f t="shared" si="36"/>
        <v/>
      </c>
      <c r="G238" s="123"/>
      <c r="H238" s="85" t="str">
        <f t="shared" si="37"/>
        <v/>
      </c>
      <c r="I238" s="85" t="str">
        <f t="shared" si="38"/>
        <v/>
      </c>
      <c r="J238" s="122"/>
      <c r="K238" s="122"/>
      <c r="L238" s="122"/>
      <c r="M238" s="89"/>
      <c r="O238" t="str">
        <f t="shared" si="39"/>
        <v/>
      </c>
      <c r="P238" t="str">
        <f t="shared" si="40"/>
        <v/>
      </c>
      <c r="Q238" t="str">
        <f t="shared" si="41"/>
        <v/>
      </c>
      <c r="R238" t="str">
        <f t="shared" si="42"/>
        <v/>
      </c>
      <c r="AB238" t="s">
        <v>1020</v>
      </c>
      <c r="AC238" t="s">
        <v>1021</v>
      </c>
      <c r="AD238" t="s">
        <v>5155</v>
      </c>
      <c r="AE238" t="s">
        <v>5156</v>
      </c>
      <c r="AF238" t="s">
        <v>5177</v>
      </c>
      <c r="AG238" t="s">
        <v>5187</v>
      </c>
    </row>
    <row r="239" spans="1:33">
      <c r="A239" s="85" t="str">
        <f>IF(C239="","",VLOOKUP('OPĆI DIO'!$C$3,'OPĆI DIO'!$L$6:$U$138,10,FALSE))</f>
        <v/>
      </c>
      <c r="B239" s="85" t="str">
        <f>IF(C239="","",VLOOKUP('OPĆI DIO'!$C$3,'OPĆI DIO'!$L$6:$U$138,9,FALSE))</f>
        <v/>
      </c>
      <c r="C239" s="90"/>
      <c r="D239" s="85" t="str">
        <f t="shared" si="35"/>
        <v/>
      </c>
      <c r="E239" s="90"/>
      <c r="F239" s="85" t="str">
        <f t="shared" si="36"/>
        <v/>
      </c>
      <c r="G239" s="123"/>
      <c r="H239" s="85" t="str">
        <f t="shared" si="37"/>
        <v/>
      </c>
      <c r="I239" s="85" t="str">
        <f t="shared" si="38"/>
        <v/>
      </c>
      <c r="J239" s="122"/>
      <c r="K239" s="122"/>
      <c r="L239" s="122"/>
      <c r="M239" s="89"/>
      <c r="O239" t="str">
        <f t="shared" si="39"/>
        <v/>
      </c>
      <c r="P239" t="str">
        <f t="shared" si="40"/>
        <v/>
      </c>
      <c r="Q239" t="str">
        <f t="shared" si="41"/>
        <v/>
      </c>
      <c r="R239" t="str">
        <f t="shared" si="42"/>
        <v/>
      </c>
      <c r="AB239" t="s">
        <v>1022</v>
      </c>
      <c r="AC239" t="s">
        <v>1023</v>
      </c>
      <c r="AD239" t="s">
        <v>5155</v>
      </c>
      <c r="AE239" t="s">
        <v>5156</v>
      </c>
      <c r="AF239" t="s">
        <v>5177</v>
      </c>
      <c r="AG239" t="s">
        <v>5187</v>
      </c>
    </row>
    <row r="240" spans="1:33">
      <c r="A240" s="85" t="str">
        <f>IF(C240="","",VLOOKUP('OPĆI DIO'!$C$3,'OPĆI DIO'!$L$6:$U$138,10,FALSE))</f>
        <v/>
      </c>
      <c r="B240" s="85" t="str">
        <f>IF(C240="","",VLOOKUP('OPĆI DIO'!$C$3,'OPĆI DIO'!$L$6:$U$138,9,FALSE))</f>
        <v/>
      </c>
      <c r="C240" s="90"/>
      <c r="D240" s="85" t="str">
        <f t="shared" si="35"/>
        <v/>
      </c>
      <c r="E240" s="90"/>
      <c r="F240" s="85" t="str">
        <f t="shared" si="36"/>
        <v/>
      </c>
      <c r="G240" s="123"/>
      <c r="H240" s="85" t="str">
        <f t="shared" si="37"/>
        <v/>
      </c>
      <c r="I240" s="85" t="str">
        <f t="shared" si="38"/>
        <v/>
      </c>
      <c r="J240" s="122"/>
      <c r="K240" s="122"/>
      <c r="L240" s="122"/>
      <c r="M240" s="89"/>
      <c r="O240" t="str">
        <f t="shared" si="39"/>
        <v/>
      </c>
      <c r="P240" t="str">
        <f t="shared" si="40"/>
        <v/>
      </c>
      <c r="Q240" t="str">
        <f t="shared" si="41"/>
        <v/>
      </c>
      <c r="R240" t="str">
        <f t="shared" si="42"/>
        <v/>
      </c>
      <c r="AB240" t="s">
        <v>1024</v>
      </c>
      <c r="AC240" t="s">
        <v>1025</v>
      </c>
      <c r="AD240" t="s">
        <v>5155</v>
      </c>
      <c r="AE240" t="s">
        <v>5156</v>
      </c>
      <c r="AF240" t="s">
        <v>5177</v>
      </c>
      <c r="AG240" t="s">
        <v>5187</v>
      </c>
    </row>
    <row r="241" spans="1:33">
      <c r="A241" s="85" t="str">
        <f>IF(C241="","",VLOOKUP('OPĆI DIO'!$C$3,'OPĆI DIO'!$L$6:$U$138,10,FALSE))</f>
        <v/>
      </c>
      <c r="B241" s="85" t="str">
        <f>IF(C241="","",VLOOKUP('OPĆI DIO'!$C$3,'OPĆI DIO'!$L$6:$U$138,9,FALSE))</f>
        <v/>
      </c>
      <c r="C241" s="90"/>
      <c r="D241" s="85" t="str">
        <f t="shared" si="35"/>
        <v/>
      </c>
      <c r="E241" s="90"/>
      <c r="F241" s="85" t="str">
        <f t="shared" si="36"/>
        <v/>
      </c>
      <c r="G241" s="123"/>
      <c r="H241" s="85" t="str">
        <f t="shared" si="37"/>
        <v/>
      </c>
      <c r="I241" s="85" t="str">
        <f t="shared" si="38"/>
        <v/>
      </c>
      <c r="J241" s="122"/>
      <c r="K241" s="122"/>
      <c r="L241" s="122"/>
      <c r="M241" s="89"/>
      <c r="O241" t="str">
        <f t="shared" si="39"/>
        <v/>
      </c>
      <c r="P241" t="str">
        <f t="shared" si="40"/>
        <v/>
      </c>
      <c r="Q241" t="str">
        <f t="shared" si="41"/>
        <v/>
      </c>
      <c r="R241" t="str">
        <f t="shared" si="42"/>
        <v/>
      </c>
      <c r="AB241" t="s">
        <v>1026</v>
      </c>
      <c r="AC241" t="s">
        <v>1027</v>
      </c>
      <c r="AD241" t="s">
        <v>5155</v>
      </c>
      <c r="AE241" t="s">
        <v>5156</v>
      </c>
      <c r="AF241" t="s">
        <v>5177</v>
      </c>
      <c r="AG241" t="s">
        <v>5187</v>
      </c>
    </row>
    <row r="242" spans="1:33">
      <c r="A242" s="85" t="str">
        <f>IF(C242="","",VLOOKUP('OPĆI DIO'!$C$3,'OPĆI DIO'!$L$6:$U$138,10,FALSE))</f>
        <v/>
      </c>
      <c r="B242" s="85" t="str">
        <f>IF(C242="","",VLOOKUP('OPĆI DIO'!$C$3,'OPĆI DIO'!$L$6:$U$138,9,FALSE))</f>
        <v/>
      </c>
      <c r="C242" s="90"/>
      <c r="D242" s="85" t="str">
        <f t="shared" si="35"/>
        <v/>
      </c>
      <c r="E242" s="90"/>
      <c r="F242" s="85" t="str">
        <f t="shared" si="36"/>
        <v/>
      </c>
      <c r="G242" s="123"/>
      <c r="H242" s="85" t="str">
        <f t="shared" si="37"/>
        <v/>
      </c>
      <c r="I242" s="85" t="str">
        <f t="shared" si="38"/>
        <v/>
      </c>
      <c r="J242" s="122"/>
      <c r="K242" s="122"/>
      <c r="L242" s="122"/>
      <c r="M242" s="89"/>
      <c r="O242" t="str">
        <f t="shared" si="39"/>
        <v/>
      </c>
      <c r="P242" t="str">
        <f t="shared" si="40"/>
        <v/>
      </c>
      <c r="Q242" t="str">
        <f t="shared" si="41"/>
        <v/>
      </c>
      <c r="R242" t="str">
        <f t="shared" si="42"/>
        <v/>
      </c>
      <c r="AB242" t="s">
        <v>1661</v>
      </c>
      <c r="AC242" t="s">
        <v>1662</v>
      </c>
      <c r="AD242" t="s">
        <v>5155</v>
      </c>
      <c r="AE242" t="s">
        <v>5156</v>
      </c>
      <c r="AF242" t="s">
        <v>5177</v>
      </c>
      <c r="AG242" t="s">
        <v>5187</v>
      </c>
    </row>
    <row r="243" spans="1:33">
      <c r="A243" s="85" t="str">
        <f>IF(C243="","",VLOOKUP('OPĆI DIO'!$C$3,'OPĆI DIO'!$L$6:$U$138,10,FALSE))</f>
        <v/>
      </c>
      <c r="B243" s="85" t="str">
        <f>IF(C243="","",VLOOKUP('OPĆI DIO'!$C$3,'OPĆI DIO'!$L$6:$U$138,9,FALSE))</f>
        <v/>
      </c>
      <c r="C243" s="90"/>
      <c r="D243" s="85" t="str">
        <f t="shared" si="35"/>
        <v/>
      </c>
      <c r="E243" s="90"/>
      <c r="F243" s="85" t="str">
        <f t="shared" si="36"/>
        <v/>
      </c>
      <c r="G243" s="123"/>
      <c r="H243" s="85" t="str">
        <f t="shared" si="37"/>
        <v/>
      </c>
      <c r="I243" s="85" t="str">
        <f t="shared" si="38"/>
        <v/>
      </c>
      <c r="J243" s="122"/>
      <c r="K243" s="122"/>
      <c r="L243" s="122"/>
      <c r="M243" s="89"/>
      <c r="O243" t="str">
        <f t="shared" si="39"/>
        <v/>
      </c>
      <c r="P243" t="str">
        <f t="shared" si="40"/>
        <v/>
      </c>
      <c r="Q243" t="str">
        <f t="shared" si="41"/>
        <v/>
      </c>
      <c r="R243" t="str">
        <f t="shared" si="42"/>
        <v/>
      </c>
      <c r="AB243" t="s">
        <v>1028</v>
      </c>
      <c r="AC243" t="s">
        <v>1029</v>
      </c>
      <c r="AD243" t="s">
        <v>5155</v>
      </c>
      <c r="AE243" t="s">
        <v>5156</v>
      </c>
      <c r="AF243" t="s">
        <v>5177</v>
      </c>
      <c r="AG243" t="s">
        <v>5187</v>
      </c>
    </row>
    <row r="244" spans="1:33">
      <c r="A244" s="85" t="str">
        <f>IF(C244="","",VLOOKUP('OPĆI DIO'!$C$3,'OPĆI DIO'!$L$6:$U$138,10,FALSE))</f>
        <v/>
      </c>
      <c r="B244" s="85" t="str">
        <f>IF(C244="","",VLOOKUP('OPĆI DIO'!$C$3,'OPĆI DIO'!$L$6:$U$138,9,FALSE))</f>
        <v/>
      </c>
      <c r="C244" s="90"/>
      <c r="D244" s="85" t="str">
        <f t="shared" si="35"/>
        <v/>
      </c>
      <c r="E244" s="90"/>
      <c r="F244" s="85" t="str">
        <f t="shared" si="36"/>
        <v/>
      </c>
      <c r="G244" s="123"/>
      <c r="H244" s="85" t="str">
        <f t="shared" si="37"/>
        <v/>
      </c>
      <c r="I244" s="85" t="str">
        <f t="shared" si="38"/>
        <v/>
      </c>
      <c r="J244" s="122"/>
      <c r="K244" s="122"/>
      <c r="L244" s="122"/>
      <c r="M244" s="89"/>
      <c r="O244" t="str">
        <f t="shared" si="39"/>
        <v/>
      </c>
      <c r="P244" t="str">
        <f t="shared" si="40"/>
        <v/>
      </c>
      <c r="Q244" t="str">
        <f t="shared" si="41"/>
        <v/>
      </c>
      <c r="R244" t="str">
        <f t="shared" si="42"/>
        <v/>
      </c>
      <c r="AB244" t="s">
        <v>2009</v>
      </c>
      <c r="AC244" t="s">
        <v>3506</v>
      </c>
      <c r="AD244" t="s">
        <v>5155</v>
      </c>
      <c r="AE244" t="s">
        <v>5156</v>
      </c>
      <c r="AF244" t="s">
        <v>5177</v>
      </c>
      <c r="AG244" t="s">
        <v>5187</v>
      </c>
    </row>
    <row r="245" spans="1:33">
      <c r="A245" s="85" t="str">
        <f>IF(C245="","",VLOOKUP('OPĆI DIO'!$C$3,'OPĆI DIO'!$L$6:$U$138,10,FALSE))</f>
        <v/>
      </c>
      <c r="B245" s="85" t="str">
        <f>IF(C245="","",VLOOKUP('OPĆI DIO'!$C$3,'OPĆI DIO'!$L$6:$U$138,9,FALSE))</f>
        <v/>
      </c>
      <c r="C245" s="90"/>
      <c r="D245" s="85" t="str">
        <f t="shared" si="35"/>
        <v/>
      </c>
      <c r="E245" s="90"/>
      <c r="F245" s="85" t="str">
        <f t="shared" si="36"/>
        <v/>
      </c>
      <c r="G245" s="123"/>
      <c r="H245" s="85" t="str">
        <f t="shared" si="37"/>
        <v/>
      </c>
      <c r="I245" s="85" t="str">
        <f t="shared" si="38"/>
        <v/>
      </c>
      <c r="J245" s="122"/>
      <c r="K245" s="122"/>
      <c r="L245" s="122"/>
      <c r="M245" s="89"/>
      <c r="O245" t="str">
        <f t="shared" si="39"/>
        <v/>
      </c>
      <c r="P245" t="str">
        <f t="shared" si="40"/>
        <v/>
      </c>
      <c r="Q245" t="str">
        <f t="shared" si="41"/>
        <v/>
      </c>
      <c r="R245" t="str">
        <f t="shared" si="42"/>
        <v/>
      </c>
      <c r="AB245" t="s">
        <v>1663</v>
      </c>
      <c r="AC245" t="s">
        <v>685</v>
      </c>
      <c r="AD245" t="s">
        <v>5155</v>
      </c>
      <c r="AE245" t="s">
        <v>5156</v>
      </c>
      <c r="AF245" t="s">
        <v>5177</v>
      </c>
      <c r="AG245" t="s">
        <v>5187</v>
      </c>
    </row>
    <row r="246" spans="1:33">
      <c r="A246" s="85" t="str">
        <f>IF(C246="","",VLOOKUP('OPĆI DIO'!$C$3,'OPĆI DIO'!$L$6:$U$138,10,FALSE))</f>
        <v/>
      </c>
      <c r="B246" s="85" t="str">
        <f>IF(C246="","",VLOOKUP('OPĆI DIO'!$C$3,'OPĆI DIO'!$L$6:$U$138,9,FALSE))</f>
        <v/>
      </c>
      <c r="C246" s="90"/>
      <c r="D246" s="85" t="str">
        <f t="shared" si="35"/>
        <v/>
      </c>
      <c r="E246" s="90"/>
      <c r="F246" s="85" t="str">
        <f t="shared" si="36"/>
        <v/>
      </c>
      <c r="G246" s="123"/>
      <c r="H246" s="85" t="str">
        <f t="shared" si="37"/>
        <v/>
      </c>
      <c r="I246" s="85" t="str">
        <f t="shared" si="38"/>
        <v/>
      </c>
      <c r="J246" s="122"/>
      <c r="K246" s="122"/>
      <c r="L246" s="122"/>
      <c r="M246" s="89"/>
      <c r="O246" t="str">
        <f t="shared" si="39"/>
        <v/>
      </c>
      <c r="P246" t="str">
        <f t="shared" si="40"/>
        <v/>
      </c>
      <c r="Q246" t="str">
        <f t="shared" si="41"/>
        <v/>
      </c>
      <c r="R246" t="str">
        <f t="shared" si="42"/>
        <v/>
      </c>
      <c r="AB246" t="s">
        <v>1032</v>
      </c>
      <c r="AC246" t="s">
        <v>1033</v>
      </c>
      <c r="AD246" t="s">
        <v>5159</v>
      </c>
      <c r="AE246" t="s">
        <v>5160</v>
      </c>
      <c r="AF246" t="s">
        <v>5177</v>
      </c>
      <c r="AG246" t="s">
        <v>5185</v>
      </c>
    </row>
    <row r="247" spans="1:33">
      <c r="A247" s="85" t="str">
        <f>IF(C247="","",VLOOKUP('OPĆI DIO'!$C$3,'OPĆI DIO'!$L$6:$U$138,10,FALSE))</f>
        <v/>
      </c>
      <c r="B247" s="85" t="str">
        <f>IF(C247="","",VLOOKUP('OPĆI DIO'!$C$3,'OPĆI DIO'!$L$6:$U$138,9,FALSE))</f>
        <v/>
      </c>
      <c r="C247" s="90"/>
      <c r="D247" s="85" t="str">
        <f t="shared" si="35"/>
        <v/>
      </c>
      <c r="E247" s="90"/>
      <c r="F247" s="85" t="str">
        <f t="shared" si="36"/>
        <v/>
      </c>
      <c r="G247" s="123"/>
      <c r="H247" s="85" t="str">
        <f t="shared" si="37"/>
        <v/>
      </c>
      <c r="I247" s="85" t="str">
        <f t="shared" si="38"/>
        <v/>
      </c>
      <c r="J247" s="122"/>
      <c r="K247" s="122"/>
      <c r="L247" s="122"/>
      <c r="M247" s="89"/>
      <c r="O247" t="str">
        <f t="shared" si="39"/>
        <v/>
      </c>
      <c r="P247" t="str">
        <f t="shared" si="40"/>
        <v/>
      </c>
      <c r="Q247" t="str">
        <f t="shared" si="41"/>
        <v/>
      </c>
      <c r="R247" t="str">
        <f t="shared" si="42"/>
        <v/>
      </c>
      <c r="AB247" t="s">
        <v>1034</v>
      </c>
      <c r="AC247" t="s">
        <v>1035</v>
      </c>
      <c r="AD247" t="s">
        <v>5153</v>
      </c>
      <c r="AE247" t="s">
        <v>5154</v>
      </c>
      <c r="AF247" t="s">
        <v>5179</v>
      </c>
      <c r="AG247" t="s">
        <v>5180</v>
      </c>
    </row>
    <row r="248" spans="1:33">
      <c r="A248" s="85" t="str">
        <f>IF(C248="","",VLOOKUP('OPĆI DIO'!$C$3,'OPĆI DIO'!$L$6:$U$138,10,FALSE))</f>
        <v/>
      </c>
      <c r="B248" s="85" t="str">
        <f>IF(C248="","",VLOOKUP('OPĆI DIO'!$C$3,'OPĆI DIO'!$L$6:$U$138,9,FALSE))</f>
        <v/>
      </c>
      <c r="C248" s="90"/>
      <c r="D248" s="85" t="str">
        <f t="shared" si="35"/>
        <v/>
      </c>
      <c r="E248" s="90"/>
      <c r="F248" s="85" t="str">
        <f t="shared" si="36"/>
        <v/>
      </c>
      <c r="G248" s="123"/>
      <c r="H248" s="85" t="str">
        <f t="shared" si="37"/>
        <v/>
      </c>
      <c r="I248" s="85" t="str">
        <f t="shared" si="38"/>
        <v/>
      </c>
      <c r="J248" s="122"/>
      <c r="K248" s="122"/>
      <c r="L248" s="122"/>
      <c r="M248" s="89"/>
      <c r="O248" t="str">
        <f t="shared" si="39"/>
        <v/>
      </c>
      <c r="P248" t="str">
        <f t="shared" si="40"/>
        <v/>
      </c>
      <c r="Q248" t="str">
        <f t="shared" si="41"/>
        <v/>
      </c>
      <c r="R248" t="str">
        <f t="shared" si="42"/>
        <v/>
      </c>
      <c r="AB248" t="s">
        <v>1034</v>
      </c>
      <c r="AC248" t="s">
        <v>1035</v>
      </c>
      <c r="AD248" t="s">
        <v>5159</v>
      </c>
      <c r="AE248" t="s">
        <v>5160</v>
      </c>
      <c r="AF248" t="s">
        <v>5177</v>
      </c>
      <c r="AG248" t="s">
        <v>5185</v>
      </c>
    </row>
    <row r="249" spans="1:33">
      <c r="A249" s="85" t="str">
        <f>IF(C249="","",VLOOKUP('OPĆI DIO'!$C$3,'OPĆI DIO'!$L$6:$U$138,10,FALSE))</f>
        <v/>
      </c>
      <c r="B249" s="85" t="str">
        <f>IF(C249="","",VLOOKUP('OPĆI DIO'!$C$3,'OPĆI DIO'!$L$6:$U$138,9,FALSE))</f>
        <v/>
      </c>
      <c r="C249" s="90"/>
      <c r="D249" s="85" t="str">
        <f t="shared" si="35"/>
        <v/>
      </c>
      <c r="E249" s="90"/>
      <c r="F249" s="85" t="str">
        <f t="shared" si="36"/>
        <v/>
      </c>
      <c r="G249" s="123"/>
      <c r="H249" s="85" t="str">
        <f t="shared" si="37"/>
        <v/>
      </c>
      <c r="I249" s="85" t="str">
        <f t="shared" si="38"/>
        <v/>
      </c>
      <c r="J249" s="122"/>
      <c r="K249" s="122"/>
      <c r="L249" s="122"/>
      <c r="M249" s="89"/>
      <c r="O249" t="str">
        <f t="shared" si="39"/>
        <v/>
      </c>
      <c r="P249" t="str">
        <f t="shared" si="40"/>
        <v/>
      </c>
      <c r="Q249" t="str">
        <f t="shared" si="41"/>
        <v/>
      </c>
      <c r="R249" t="str">
        <f t="shared" si="42"/>
        <v/>
      </c>
      <c r="AB249" t="s">
        <v>1036</v>
      </c>
      <c r="AC249" t="s">
        <v>1037</v>
      </c>
      <c r="AD249" t="s">
        <v>5159</v>
      </c>
      <c r="AE249" t="s">
        <v>5160</v>
      </c>
      <c r="AF249" t="s">
        <v>5177</v>
      </c>
      <c r="AG249" t="s">
        <v>5185</v>
      </c>
    </row>
    <row r="250" spans="1:33">
      <c r="A250" s="85" t="str">
        <f>IF(C250="","",VLOOKUP('OPĆI DIO'!$C$3,'OPĆI DIO'!$L$6:$U$138,10,FALSE))</f>
        <v/>
      </c>
      <c r="B250" s="85" t="str">
        <f>IF(C250="","",VLOOKUP('OPĆI DIO'!$C$3,'OPĆI DIO'!$L$6:$U$138,9,FALSE))</f>
        <v/>
      </c>
      <c r="C250" s="90"/>
      <c r="D250" s="85" t="str">
        <f t="shared" si="35"/>
        <v/>
      </c>
      <c r="E250" s="90"/>
      <c r="F250" s="85" t="str">
        <f t="shared" si="36"/>
        <v/>
      </c>
      <c r="G250" s="123"/>
      <c r="H250" s="85" t="str">
        <f t="shared" si="37"/>
        <v/>
      </c>
      <c r="I250" s="85" t="str">
        <f t="shared" si="38"/>
        <v/>
      </c>
      <c r="J250" s="122"/>
      <c r="K250" s="122"/>
      <c r="L250" s="122"/>
      <c r="M250" s="89"/>
      <c r="O250" t="str">
        <f t="shared" si="39"/>
        <v/>
      </c>
      <c r="P250" t="str">
        <f t="shared" si="40"/>
        <v/>
      </c>
      <c r="Q250" t="str">
        <f t="shared" si="41"/>
        <v/>
      </c>
      <c r="R250" t="str">
        <f t="shared" si="42"/>
        <v/>
      </c>
      <c r="AB250" t="s">
        <v>1038</v>
      </c>
      <c r="AC250" t="s">
        <v>1039</v>
      </c>
      <c r="AD250" t="s">
        <v>5159</v>
      </c>
      <c r="AE250" t="s">
        <v>5160</v>
      </c>
      <c r="AF250" t="s">
        <v>5177</v>
      </c>
      <c r="AG250" t="s">
        <v>5185</v>
      </c>
    </row>
    <row r="251" spans="1:33">
      <c r="A251" s="85" t="str">
        <f>IF(C251="","",VLOOKUP('OPĆI DIO'!$C$3,'OPĆI DIO'!$L$6:$U$138,10,FALSE))</f>
        <v/>
      </c>
      <c r="B251" s="85" t="str">
        <f>IF(C251="","",VLOOKUP('OPĆI DIO'!$C$3,'OPĆI DIO'!$L$6:$U$138,9,FALSE))</f>
        <v/>
      </c>
      <c r="C251" s="90"/>
      <c r="D251" s="85" t="str">
        <f t="shared" si="35"/>
        <v/>
      </c>
      <c r="E251" s="90"/>
      <c r="F251" s="85" t="str">
        <f t="shared" si="36"/>
        <v/>
      </c>
      <c r="G251" s="123"/>
      <c r="H251" s="85" t="str">
        <f t="shared" si="37"/>
        <v/>
      </c>
      <c r="I251" s="85" t="str">
        <f t="shared" si="38"/>
        <v/>
      </c>
      <c r="J251" s="122"/>
      <c r="K251" s="122"/>
      <c r="L251" s="122"/>
      <c r="M251" s="89"/>
      <c r="O251" t="str">
        <f t="shared" si="39"/>
        <v/>
      </c>
      <c r="P251" t="str">
        <f t="shared" si="40"/>
        <v/>
      </c>
      <c r="Q251" t="str">
        <f t="shared" si="41"/>
        <v/>
      </c>
      <c r="R251" t="str">
        <f t="shared" si="42"/>
        <v/>
      </c>
      <c r="AB251" t="s">
        <v>1040</v>
      </c>
      <c r="AC251" t="s">
        <v>1041</v>
      </c>
      <c r="AD251" t="s">
        <v>5159</v>
      </c>
      <c r="AE251" t="s">
        <v>5160</v>
      </c>
      <c r="AF251" t="s">
        <v>5177</v>
      </c>
      <c r="AG251" t="s">
        <v>5185</v>
      </c>
    </row>
    <row r="252" spans="1:33">
      <c r="A252" s="85" t="str">
        <f>IF(C252="","",VLOOKUP('OPĆI DIO'!$C$3,'OPĆI DIO'!$L$6:$U$138,10,FALSE))</f>
        <v/>
      </c>
      <c r="B252" s="85" t="str">
        <f>IF(C252="","",VLOOKUP('OPĆI DIO'!$C$3,'OPĆI DIO'!$L$6:$U$138,9,FALSE))</f>
        <v/>
      </c>
      <c r="C252" s="90"/>
      <c r="D252" s="85" t="str">
        <f t="shared" si="35"/>
        <v/>
      </c>
      <c r="E252" s="90"/>
      <c r="F252" s="85" t="str">
        <f t="shared" si="36"/>
        <v/>
      </c>
      <c r="G252" s="123"/>
      <c r="H252" s="85" t="str">
        <f t="shared" si="37"/>
        <v/>
      </c>
      <c r="I252" s="85" t="str">
        <f t="shared" si="38"/>
        <v/>
      </c>
      <c r="J252" s="122"/>
      <c r="K252" s="122"/>
      <c r="L252" s="122"/>
      <c r="M252" s="89"/>
      <c r="O252" t="str">
        <f t="shared" si="39"/>
        <v/>
      </c>
      <c r="P252" t="str">
        <f t="shared" si="40"/>
        <v/>
      </c>
      <c r="Q252" t="str">
        <f t="shared" si="41"/>
        <v/>
      </c>
      <c r="R252" t="str">
        <f t="shared" si="42"/>
        <v/>
      </c>
      <c r="AB252" t="s">
        <v>1042</v>
      </c>
      <c r="AC252" t="s">
        <v>1043</v>
      </c>
      <c r="AD252" t="s">
        <v>5159</v>
      </c>
      <c r="AE252" t="s">
        <v>5160</v>
      </c>
      <c r="AF252" t="s">
        <v>5177</v>
      </c>
      <c r="AG252" t="s">
        <v>5185</v>
      </c>
    </row>
    <row r="253" spans="1:33">
      <c r="A253" s="85" t="str">
        <f>IF(C253="","",VLOOKUP('OPĆI DIO'!$C$3,'OPĆI DIO'!$L$6:$U$138,10,FALSE))</f>
        <v/>
      </c>
      <c r="B253" s="85" t="str">
        <f>IF(C253="","",VLOOKUP('OPĆI DIO'!$C$3,'OPĆI DIO'!$L$6:$U$138,9,FALSE))</f>
        <v/>
      </c>
      <c r="C253" s="90"/>
      <c r="D253" s="85" t="str">
        <f t="shared" si="35"/>
        <v/>
      </c>
      <c r="E253" s="90"/>
      <c r="F253" s="85" t="str">
        <f t="shared" si="36"/>
        <v/>
      </c>
      <c r="G253" s="123"/>
      <c r="H253" s="85" t="str">
        <f t="shared" si="37"/>
        <v/>
      </c>
      <c r="I253" s="85" t="str">
        <f t="shared" si="38"/>
        <v/>
      </c>
      <c r="J253" s="122"/>
      <c r="K253" s="122"/>
      <c r="L253" s="122"/>
      <c r="M253" s="89"/>
      <c r="O253" t="str">
        <f t="shared" si="39"/>
        <v/>
      </c>
      <c r="P253" t="str">
        <f t="shared" si="40"/>
        <v/>
      </c>
      <c r="Q253" t="str">
        <f t="shared" si="41"/>
        <v/>
      </c>
      <c r="R253" t="str">
        <f t="shared" si="42"/>
        <v/>
      </c>
      <c r="AB253" t="s">
        <v>1044</v>
      </c>
      <c r="AC253" t="s">
        <v>1045</v>
      </c>
      <c r="AD253" t="s">
        <v>5159</v>
      </c>
      <c r="AE253" t="s">
        <v>5160</v>
      </c>
      <c r="AF253" t="s">
        <v>5177</v>
      </c>
      <c r="AG253" t="s">
        <v>5185</v>
      </c>
    </row>
    <row r="254" spans="1:33">
      <c r="A254" s="85" t="str">
        <f>IF(C254="","",VLOOKUP('OPĆI DIO'!$C$3,'OPĆI DIO'!$L$6:$U$138,10,FALSE))</f>
        <v/>
      </c>
      <c r="B254" s="85" t="str">
        <f>IF(C254="","",VLOOKUP('OPĆI DIO'!$C$3,'OPĆI DIO'!$L$6:$U$138,9,FALSE))</f>
        <v/>
      </c>
      <c r="C254" s="90"/>
      <c r="D254" s="85" t="str">
        <f t="shared" si="35"/>
        <v/>
      </c>
      <c r="E254" s="90"/>
      <c r="F254" s="85" t="str">
        <f t="shared" si="36"/>
        <v/>
      </c>
      <c r="G254" s="123"/>
      <c r="H254" s="85" t="str">
        <f t="shared" si="37"/>
        <v/>
      </c>
      <c r="I254" s="85" t="str">
        <f t="shared" si="38"/>
        <v/>
      </c>
      <c r="J254" s="122"/>
      <c r="K254" s="122"/>
      <c r="L254" s="122"/>
      <c r="M254" s="89"/>
      <c r="O254" t="str">
        <f t="shared" si="39"/>
        <v/>
      </c>
      <c r="P254" t="str">
        <f t="shared" si="40"/>
        <v/>
      </c>
      <c r="Q254" t="str">
        <f t="shared" si="41"/>
        <v/>
      </c>
      <c r="R254" t="str">
        <f t="shared" si="42"/>
        <v/>
      </c>
      <c r="AB254" t="s">
        <v>1046</v>
      </c>
      <c r="AC254" t="s">
        <v>1047</v>
      </c>
      <c r="AD254" t="s">
        <v>5159</v>
      </c>
      <c r="AE254" t="s">
        <v>5160</v>
      </c>
      <c r="AF254" t="s">
        <v>5177</v>
      </c>
      <c r="AG254" t="s">
        <v>5185</v>
      </c>
    </row>
    <row r="255" spans="1:33">
      <c r="A255" s="85" t="str">
        <f>IF(C255="","",VLOOKUP('OPĆI DIO'!$C$3,'OPĆI DIO'!$L$6:$U$138,10,FALSE))</f>
        <v/>
      </c>
      <c r="B255" s="85" t="str">
        <f>IF(C255="","",VLOOKUP('OPĆI DIO'!$C$3,'OPĆI DIO'!$L$6:$U$138,9,FALSE))</f>
        <v/>
      </c>
      <c r="C255" s="90"/>
      <c r="D255" s="85" t="str">
        <f t="shared" si="35"/>
        <v/>
      </c>
      <c r="E255" s="90"/>
      <c r="F255" s="85" t="str">
        <f t="shared" si="36"/>
        <v/>
      </c>
      <c r="G255" s="123"/>
      <c r="H255" s="85" t="str">
        <f t="shared" si="37"/>
        <v/>
      </c>
      <c r="I255" s="85" t="str">
        <f t="shared" si="38"/>
        <v/>
      </c>
      <c r="J255" s="122"/>
      <c r="K255" s="122"/>
      <c r="L255" s="122"/>
      <c r="M255" s="89"/>
      <c r="O255" t="str">
        <f t="shared" si="39"/>
        <v/>
      </c>
      <c r="P255" t="str">
        <f t="shared" si="40"/>
        <v/>
      </c>
      <c r="Q255" t="str">
        <f t="shared" si="41"/>
        <v/>
      </c>
      <c r="R255" t="str">
        <f t="shared" si="42"/>
        <v/>
      </c>
      <c r="AB255" t="s">
        <v>1048</v>
      </c>
      <c r="AC255" t="s">
        <v>1049</v>
      </c>
      <c r="AD255" t="s">
        <v>5159</v>
      </c>
      <c r="AE255" t="s">
        <v>5160</v>
      </c>
      <c r="AF255" t="s">
        <v>5177</v>
      </c>
      <c r="AG255" t="s">
        <v>5185</v>
      </c>
    </row>
    <row r="256" spans="1:33">
      <c r="A256" s="85" t="str">
        <f>IF(C256="","",VLOOKUP('OPĆI DIO'!$C$3,'OPĆI DIO'!$L$6:$U$138,10,FALSE))</f>
        <v/>
      </c>
      <c r="B256" s="85" t="str">
        <f>IF(C256="","",VLOOKUP('OPĆI DIO'!$C$3,'OPĆI DIO'!$L$6:$U$138,9,FALSE))</f>
        <v/>
      </c>
      <c r="C256" s="90"/>
      <c r="D256" s="85" t="str">
        <f t="shared" si="35"/>
        <v/>
      </c>
      <c r="E256" s="90"/>
      <c r="F256" s="85" t="str">
        <f t="shared" si="36"/>
        <v/>
      </c>
      <c r="G256" s="123"/>
      <c r="H256" s="85" t="str">
        <f t="shared" si="37"/>
        <v/>
      </c>
      <c r="I256" s="85" t="str">
        <f t="shared" si="38"/>
        <v/>
      </c>
      <c r="J256" s="122"/>
      <c r="K256" s="122"/>
      <c r="L256" s="122"/>
      <c r="M256" s="89"/>
      <c r="O256" t="str">
        <f t="shared" si="39"/>
        <v/>
      </c>
      <c r="P256" t="str">
        <f t="shared" si="40"/>
        <v/>
      </c>
      <c r="Q256" t="str">
        <f t="shared" si="41"/>
        <v/>
      </c>
      <c r="R256" t="str">
        <f t="shared" si="42"/>
        <v/>
      </c>
      <c r="AB256" t="s">
        <v>1050</v>
      </c>
      <c r="AC256" t="s">
        <v>1051</v>
      </c>
      <c r="AD256" t="s">
        <v>5159</v>
      </c>
      <c r="AE256" t="s">
        <v>5160</v>
      </c>
      <c r="AF256" t="s">
        <v>5177</v>
      </c>
      <c r="AG256" t="s">
        <v>5185</v>
      </c>
    </row>
    <row r="257" spans="1:33">
      <c r="A257" s="85" t="str">
        <f>IF(C257="","",VLOOKUP('OPĆI DIO'!$C$3,'OPĆI DIO'!$L$6:$U$138,10,FALSE))</f>
        <v/>
      </c>
      <c r="B257" s="85" t="str">
        <f>IF(C257="","",VLOOKUP('OPĆI DIO'!$C$3,'OPĆI DIO'!$L$6:$U$138,9,FALSE))</f>
        <v/>
      </c>
      <c r="C257" s="90"/>
      <c r="D257" s="85" t="str">
        <f t="shared" si="35"/>
        <v/>
      </c>
      <c r="E257" s="90"/>
      <c r="F257" s="85" t="str">
        <f t="shared" si="36"/>
        <v/>
      </c>
      <c r="G257" s="123"/>
      <c r="H257" s="85" t="str">
        <f t="shared" si="37"/>
        <v/>
      </c>
      <c r="I257" s="85" t="str">
        <f t="shared" si="38"/>
        <v/>
      </c>
      <c r="J257" s="122"/>
      <c r="K257" s="122"/>
      <c r="L257" s="122"/>
      <c r="M257" s="89"/>
      <c r="O257" t="str">
        <f t="shared" si="39"/>
        <v/>
      </c>
      <c r="P257" t="str">
        <f t="shared" si="40"/>
        <v/>
      </c>
      <c r="Q257" t="str">
        <f t="shared" si="41"/>
        <v/>
      </c>
      <c r="R257" t="str">
        <f t="shared" si="42"/>
        <v/>
      </c>
      <c r="AB257" t="s">
        <v>1052</v>
      </c>
      <c r="AC257" t="s">
        <v>1053</v>
      </c>
      <c r="AD257" t="s">
        <v>5159</v>
      </c>
      <c r="AE257" t="s">
        <v>5160</v>
      </c>
      <c r="AF257" t="s">
        <v>5177</v>
      </c>
      <c r="AG257" t="s">
        <v>5185</v>
      </c>
    </row>
    <row r="258" spans="1:33">
      <c r="A258" s="85" t="str">
        <f>IF(C258="","",VLOOKUP('OPĆI DIO'!$C$3,'OPĆI DIO'!$L$6:$U$138,10,FALSE))</f>
        <v/>
      </c>
      <c r="B258" s="85" t="str">
        <f>IF(C258="","",VLOOKUP('OPĆI DIO'!$C$3,'OPĆI DIO'!$L$6:$U$138,9,FALSE))</f>
        <v/>
      </c>
      <c r="C258" s="90"/>
      <c r="D258" s="85" t="str">
        <f t="shared" si="35"/>
        <v/>
      </c>
      <c r="E258" s="90"/>
      <c r="F258" s="85" t="str">
        <f t="shared" si="36"/>
        <v/>
      </c>
      <c r="G258" s="123"/>
      <c r="H258" s="85" t="str">
        <f t="shared" si="37"/>
        <v/>
      </c>
      <c r="I258" s="85" t="str">
        <f t="shared" si="38"/>
        <v/>
      </c>
      <c r="J258" s="122"/>
      <c r="K258" s="122"/>
      <c r="L258" s="122"/>
      <c r="M258" s="89"/>
      <c r="O258" t="str">
        <f t="shared" si="39"/>
        <v/>
      </c>
      <c r="P258" t="str">
        <f t="shared" si="40"/>
        <v/>
      </c>
      <c r="Q258" t="str">
        <f t="shared" si="41"/>
        <v/>
      </c>
      <c r="R258" t="str">
        <f t="shared" si="42"/>
        <v/>
      </c>
      <c r="AB258" t="s">
        <v>1054</v>
      </c>
      <c r="AC258" t="s">
        <v>1055</v>
      </c>
      <c r="AD258" t="s">
        <v>5159</v>
      </c>
      <c r="AE258" t="s">
        <v>5160</v>
      </c>
      <c r="AF258" t="s">
        <v>5177</v>
      </c>
      <c r="AG258" t="s">
        <v>5185</v>
      </c>
    </row>
    <row r="259" spans="1:33">
      <c r="A259" s="85" t="str">
        <f>IF(C259="","",VLOOKUP('OPĆI DIO'!$C$3,'OPĆI DIO'!$L$6:$U$138,10,FALSE))</f>
        <v/>
      </c>
      <c r="B259" s="85" t="str">
        <f>IF(C259="","",VLOOKUP('OPĆI DIO'!$C$3,'OPĆI DIO'!$L$6:$U$138,9,FALSE))</f>
        <v/>
      </c>
      <c r="C259" s="90"/>
      <c r="D259" s="85" t="str">
        <f t="shared" ref="D259:D322" si="43">IFERROR(VLOOKUP(C259,$S$6:$T$24,2,FALSE),"")</f>
        <v/>
      </c>
      <c r="E259" s="90"/>
      <c r="F259" s="85" t="str">
        <f t="shared" si="36"/>
        <v/>
      </c>
      <c r="G259" s="123"/>
      <c r="H259" s="85" t="str">
        <f t="shared" si="37"/>
        <v/>
      </c>
      <c r="I259" s="85" t="str">
        <f t="shared" si="38"/>
        <v/>
      </c>
      <c r="J259" s="122"/>
      <c r="K259" s="122"/>
      <c r="L259" s="122"/>
      <c r="M259" s="89"/>
      <c r="O259" t="str">
        <f t="shared" si="39"/>
        <v/>
      </c>
      <c r="P259" t="str">
        <f t="shared" si="40"/>
        <v/>
      </c>
      <c r="Q259" t="str">
        <f t="shared" si="41"/>
        <v/>
      </c>
      <c r="R259" t="str">
        <f t="shared" si="42"/>
        <v/>
      </c>
      <c r="AB259" t="s">
        <v>1056</v>
      </c>
      <c r="AC259" t="s">
        <v>1057</v>
      </c>
      <c r="AD259" t="s">
        <v>5159</v>
      </c>
      <c r="AE259" t="s">
        <v>5160</v>
      </c>
      <c r="AF259" t="s">
        <v>5177</v>
      </c>
      <c r="AG259" t="s">
        <v>5185</v>
      </c>
    </row>
    <row r="260" spans="1:33">
      <c r="A260" s="85" t="str">
        <f>IF(C260="","",VLOOKUP('OPĆI DIO'!$C$3,'OPĆI DIO'!$L$6:$U$138,10,FALSE))</f>
        <v/>
      </c>
      <c r="B260" s="85" t="str">
        <f>IF(C260="","",VLOOKUP('OPĆI DIO'!$C$3,'OPĆI DIO'!$L$6:$U$138,9,FALSE))</f>
        <v/>
      </c>
      <c r="C260" s="90"/>
      <c r="D260" s="85" t="str">
        <f t="shared" si="43"/>
        <v/>
      </c>
      <c r="E260" s="90"/>
      <c r="F260" s="85" t="str">
        <f t="shared" ref="F260:F323" si="44">IFERROR(VLOOKUP(E260,$V$5:$X$129,2,FALSE),"")</f>
        <v/>
      </c>
      <c r="G260" s="123"/>
      <c r="H260" s="85" t="str">
        <f t="shared" ref="H260:H323" si="45">IFERROR(VLOOKUP(G260,$AB$6:$AC$327,2,FALSE),"")</f>
        <v/>
      </c>
      <c r="I260" s="85" t="str">
        <f t="shared" ref="I260:I323" si="46">IFERROR(VLOOKUP(G260,$AB$6:$AF$327,3,FALSE),"")</f>
        <v/>
      </c>
      <c r="J260" s="122"/>
      <c r="K260" s="122"/>
      <c r="L260" s="122"/>
      <c r="M260" s="89"/>
      <c r="O260" t="str">
        <f t="shared" ref="O260:O323" si="47">LEFT(E260,3)</f>
        <v/>
      </c>
      <c r="P260" t="str">
        <f t="shared" ref="P260:P323" si="48">LEFT(E260,2)</f>
        <v/>
      </c>
      <c r="Q260" t="str">
        <f t="shared" ref="Q260:Q323" si="49">LEFT(C260,3)</f>
        <v/>
      </c>
      <c r="R260" t="str">
        <f t="shared" ref="R260:R323" si="50">MID(I260,2,2)</f>
        <v/>
      </c>
      <c r="AB260" t="s">
        <v>1664</v>
      </c>
      <c r="AC260" t="s">
        <v>1665</v>
      </c>
      <c r="AD260" t="s">
        <v>5159</v>
      </c>
      <c r="AE260" t="s">
        <v>5160</v>
      </c>
      <c r="AF260" t="s">
        <v>5177</v>
      </c>
      <c r="AG260" t="s">
        <v>5185</v>
      </c>
    </row>
    <row r="261" spans="1:33">
      <c r="A261" s="85" t="str">
        <f>IF(C261="","",VLOOKUP('OPĆI DIO'!$C$3,'OPĆI DIO'!$L$6:$U$138,10,FALSE))</f>
        <v/>
      </c>
      <c r="B261" s="85" t="str">
        <f>IF(C261="","",VLOOKUP('OPĆI DIO'!$C$3,'OPĆI DIO'!$L$6:$U$138,9,FALSE))</f>
        <v/>
      </c>
      <c r="C261" s="90"/>
      <c r="D261" s="85" t="str">
        <f t="shared" si="43"/>
        <v/>
      </c>
      <c r="E261" s="90"/>
      <c r="F261" s="85" t="str">
        <f t="shared" si="44"/>
        <v/>
      </c>
      <c r="G261" s="123"/>
      <c r="H261" s="85" t="str">
        <f t="shared" si="45"/>
        <v/>
      </c>
      <c r="I261" s="85" t="str">
        <f t="shared" si="46"/>
        <v/>
      </c>
      <c r="J261" s="122"/>
      <c r="K261" s="122"/>
      <c r="L261" s="122"/>
      <c r="M261" s="89"/>
      <c r="O261" t="str">
        <f t="shared" si="47"/>
        <v/>
      </c>
      <c r="P261" t="str">
        <f t="shared" si="48"/>
        <v/>
      </c>
      <c r="Q261" t="str">
        <f t="shared" si="49"/>
        <v/>
      </c>
      <c r="R261" t="str">
        <f t="shared" si="50"/>
        <v/>
      </c>
      <c r="AB261" t="s">
        <v>1974</v>
      </c>
      <c r="AC261" t="s">
        <v>1975</v>
      </c>
      <c r="AD261" t="s">
        <v>5159</v>
      </c>
      <c r="AE261" t="s">
        <v>5160</v>
      </c>
      <c r="AF261" t="s">
        <v>5177</v>
      </c>
      <c r="AG261" t="s">
        <v>5185</v>
      </c>
    </row>
    <row r="262" spans="1:33">
      <c r="A262" s="85" t="str">
        <f>IF(C262="","",VLOOKUP('OPĆI DIO'!$C$3,'OPĆI DIO'!$L$6:$U$138,10,FALSE))</f>
        <v/>
      </c>
      <c r="B262" s="85" t="str">
        <f>IF(C262="","",VLOOKUP('OPĆI DIO'!$C$3,'OPĆI DIO'!$L$6:$U$138,9,FALSE))</f>
        <v/>
      </c>
      <c r="C262" s="90"/>
      <c r="D262" s="85" t="str">
        <f t="shared" si="43"/>
        <v/>
      </c>
      <c r="E262" s="90"/>
      <c r="F262" s="85" t="str">
        <f t="shared" si="44"/>
        <v/>
      </c>
      <c r="G262" s="123"/>
      <c r="H262" s="85" t="str">
        <f t="shared" si="45"/>
        <v/>
      </c>
      <c r="I262" s="85" t="str">
        <f t="shared" si="46"/>
        <v/>
      </c>
      <c r="J262" s="122"/>
      <c r="K262" s="122"/>
      <c r="L262" s="122"/>
      <c r="M262" s="89"/>
      <c r="O262" t="str">
        <f t="shared" si="47"/>
        <v/>
      </c>
      <c r="P262" t="str">
        <f t="shared" si="48"/>
        <v/>
      </c>
      <c r="Q262" t="str">
        <f t="shared" si="49"/>
        <v/>
      </c>
      <c r="R262" t="str">
        <f t="shared" si="50"/>
        <v/>
      </c>
      <c r="AB262" t="s">
        <v>3507</v>
      </c>
      <c r="AC262" t="s">
        <v>3508</v>
      </c>
      <c r="AD262" t="s">
        <v>5159</v>
      </c>
      <c r="AE262" t="s">
        <v>5160</v>
      </c>
      <c r="AF262" t="s">
        <v>5177</v>
      </c>
      <c r="AG262" t="s">
        <v>5185</v>
      </c>
    </row>
    <row r="263" spans="1:33">
      <c r="A263" s="85" t="str">
        <f>IF(C263="","",VLOOKUP('OPĆI DIO'!$C$3,'OPĆI DIO'!$L$6:$U$138,10,FALSE))</f>
        <v/>
      </c>
      <c r="B263" s="85" t="str">
        <f>IF(C263="","",VLOOKUP('OPĆI DIO'!$C$3,'OPĆI DIO'!$L$6:$U$138,9,FALSE))</f>
        <v/>
      </c>
      <c r="C263" s="90"/>
      <c r="D263" s="85" t="str">
        <f t="shared" si="43"/>
        <v/>
      </c>
      <c r="E263" s="90"/>
      <c r="F263" s="85" t="str">
        <f t="shared" si="44"/>
        <v/>
      </c>
      <c r="G263" s="123"/>
      <c r="H263" s="85" t="str">
        <f t="shared" si="45"/>
        <v/>
      </c>
      <c r="I263" s="85" t="str">
        <f t="shared" si="46"/>
        <v/>
      </c>
      <c r="J263" s="122"/>
      <c r="K263" s="122"/>
      <c r="L263" s="122"/>
      <c r="M263" s="89"/>
      <c r="O263" t="str">
        <f t="shared" si="47"/>
        <v/>
      </c>
      <c r="P263" t="str">
        <f t="shared" si="48"/>
        <v/>
      </c>
      <c r="Q263" t="str">
        <f t="shared" si="49"/>
        <v/>
      </c>
      <c r="R263" t="str">
        <f t="shared" si="50"/>
        <v/>
      </c>
      <c r="AB263" t="s">
        <v>3509</v>
      </c>
      <c r="AC263" t="s">
        <v>3510</v>
      </c>
      <c r="AD263" t="s">
        <v>5159</v>
      </c>
      <c r="AE263" t="s">
        <v>5160</v>
      </c>
      <c r="AF263" t="s">
        <v>5177</v>
      </c>
      <c r="AG263" t="s">
        <v>5185</v>
      </c>
    </row>
    <row r="264" spans="1:33">
      <c r="A264" s="85" t="str">
        <f>IF(C264="","",VLOOKUP('OPĆI DIO'!$C$3,'OPĆI DIO'!$L$6:$U$138,10,FALSE))</f>
        <v/>
      </c>
      <c r="B264" s="85" t="str">
        <f>IF(C264="","",VLOOKUP('OPĆI DIO'!$C$3,'OPĆI DIO'!$L$6:$U$138,9,FALSE))</f>
        <v/>
      </c>
      <c r="C264" s="90"/>
      <c r="D264" s="85" t="str">
        <f t="shared" si="43"/>
        <v/>
      </c>
      <c r="E264" s="90"/>
      <c r="F264" s="85" t="str">
        <f t="shared" si="44"/>
        <v/>
      </c>
      <c r="G264" s="123"/>
      <c r="H264" s="85" t="str">
        <f t="shared" si="45"/>
        <v/>
      </c>
      <c r="I264" s="85" t="str">
        <f t="shared" si="46"/>
        <v/>
      </c>
      <c r="J264" s="122"/>
      <c r="K264" s="122"/>
      <c r="L264" s="122"/>
      <c r="M264" s="89"/>
      <c r="O264" t="str">
        <f t="shared" si="47"/>
        <v/>
      </c>
      <c r="P264" t="str">
        <f t="shared" si="48"/>
        <v/>
      </c>
      <c r="Q264" t="str">
        <f t="shared" si="49"/>
        <v/>
      </c>
      <c r="R264" t="str">
        <f t="shared" si="50"/>
        <v/>
      </c>
      <c r="AB264" t="s">
        <v>1976</v>
      </c>
      <c r="AC264" t="s">
        <v>1977</v>
      </c>
      <c r="AD264" t="s">
        <v>5159</v>
      </c>
      <c r="AE264" t="s">
        <v>5160</v>
      </c>
      <c r="AF264" t="s">
        <v>5177</v>
      </c>
      <c r="AG264" t="s">
        <v>5185</v>
      </c>
    </row>
    <row r="265" spans="1:33">
      <c r="A265" s="85" t="str">
        <f>IF(C265="","",VLOOKUP('OPĆI DIO'!$C$3,'OPĆI DIO'!$L$6:$U$138,10,FALSE))</f>
        <v/>
      </c>
      <c r="B265" s="85" t="str">
        <f>IF(C265="","",VLOOKUP('OPĆI DIO'!$C$3,'OPĆI DIO'!$L$6:$U$138,9,FALSE))</f>
        <v/>
      </c>
      <c r="C265" s="90"/>
      <c r="D265" s="85" t="str">
        <f t="shared" si="43"/>
        <v/>
      </c>
      <c r="E265" s="90"/>
      <c r="F265" s="85" t="str">
        <f t="shared" si="44"/>
        <v/>
      </c>
      <c r="G265" s="123"/>
      <c r="H265" s="85" t="str">
        <f t="shared" si="45"/>
        <v/>
      </c>
      <c r="I265" s="85" t="str">
        <f t="shared" si="46"/>
        <v/>
      </c>
      <c r="J265" s="122"/>
      <c r="K265" s="122"/>
      <c r="L265" s="122"/>
      <c r="M265" s="89"/>
      <c r="O265" t="str">
        <f t="shared" si="47"/>
        <v/>
      </c>
      <c r="P265" t="str">
        <f t="shared" si="48"/>
        <v/>
      </c>
      <c r="Q265" t="str">
        <f t="shared" si="49"/>
        <v/>
      </c>
      <c r="R265" t="str">
        <f t="shared" si="50"/>
        <v/>
      </c>
      <c r="AB265" t="s">
        <v>1058</v>
      </c>
      <c r="AC265" t="s">
        <v>1059</v>
      </c>
      <c r="AD265" t="s">
        <v>5159</v>
      </c>
      <c r="AE265" t="s">
        <v>5160</v>
      </c>
      <c r="AF265" t="s">
        <v>5177</v>
      </c>
      <c r="AG265" t="s">
        <v>5185</v>
      </c>
    </row>
    <row r="266" spans="1:33">
      <c r="A266" s="85" t="str">
        <f>IF(C266="","",VLOOKUP('OPĆI DIO'!$C$3,'OPĆI DIO'!$L$6:$U$138,10,FALSE))</f>
        <v/>
      </c>
      <c r="B266" s="85" t="str">
        <f>IF(C266="","",VLOOKUP('OPĆI DIO'!$C$3,'OPĆI DIO'!$L$6:$U$138,9,FALSE))</f>
        <v/>
      </c>
      <c r="C266" s="90"/>
      <c r="D266" s="85" t="str">
        <f t="shared" si="43"/>
        <v/>
      </c>
      <c r="E266" s="90"/>
      <c r="F266" s="85" t="str">
        <f t="shared" si="44"/>
        <v/>
      </c>
      <c r="G266" s="123"/>
      <c r="H266" s="85" t="str">
        <f t="shared" si="45"/>
        <v/>
      </c>
      <c r="I266" s="85" t="str">
        <f t="shared" si="46"/>
        <v/>
      </c>
      <c r="J266" s="122"/>
      <c r="K266" s="122"/>
      <c r="L266" s="122"/>
      <c r="M266" s="89"/>
      <c r="O266" t="str">
        <f t="shared" si="47"/>
        <v/>
      </c>
      <c r="P266" t="str">
        <f t="shared" si="48"/>
        <v/>
      </c>
      <c r="Q266" t="str">
        <f t="shared" si="49"/>
        <v/>
      </c>
      <c r="R266" t="str">
        <f t="shared" si="50"/>
        <v/>
      </c>
      <c r="AB266" t="s">
        <v>1060</v>
      </c>
      <c r="AC266" t="s">
        <v>1061</v>
      </c>
      <c r="AD266" t="s">
        <v>5159</v>
      </c>
      <c r="AE266" t="s">
        <v>5160</v>
      </c>
      <c r="AF266" t="s">
        <v>5177</v>
      </c>
      <c r="AG266" t="s">
        <v>5185</v>
      </c>
    </row>
    <row r="267" spans="1:33">
      <c r="A267" s="85" t="str">
        <f>IF(C267="","",VLOOKUP('OPĆI DIO'!$C$3,'OPĆI DIO'!$L$6:$U$138,10,FALSE))</f>
        <v/>
      </c>
      <c r="B267" s="85" t="str">
        <f>IF(C267="","",VLOOKUP('OPĆI DIO'!$C$3,'OPĆI DIO'!$L$6:$U$138,9,FALSE))</f>
        <v/>
      </c>
      <c r="C267" s="90"/>
      <c r="D267" s="85" t="str">
        <f t="shared" si="43"/>
        <v/>
      </c>
      <c r="E267" s="90"/>
      <c r="F267" s="85" t="str">
        <f t="shared" si="44"/>
        <v/>
      </c>
      <c r="G267" s="123"/>
      <c r="H267" s="85" t="str">
        <f t="shared" si="45"/>
        <v/>
      </c>
      <c r="I267" s="85" t="str">
        <f t="shared" si="46"/>
        <v/>
      </c>
      <c r="J267" s="122"/>
      <c r="K267" s="122"/>
      <c r="L267" s="122"/>
      <c r="M267" s="89"/>
      <c r="O267" t="str">
        <f t="shared" si="47"/>
        <v/>
      </c>
      <c r="P267" t="str">
        <f t="shared" si="48"/>
        <v/>
      </c>
      <c r="Q267" t="str">
        <f t="shared" si="49"/>
        <v/>
      </c>
      <c r="R267" t="str">
        <f t="shared" si="50"/>
        <v/>
      </c>
      <c r="AB267" t="s">
        <v>1062</v>
      </c>
      <c r="AC267" t="s">
        <v>685</v>
      </c>
      <c r="AD267" t="s">
        <v>5159</v>
      </c>
      <c r="AE267" t="s">
        <v>5160</v>
      </c>
      <c r="AF267" t="s">
        <v>5177</v>
      </c>
      <c r="AG267" t="s">
        <v>5185</v>
      </c>
    </row>
    <row r="268" spans="1:33">
      <c r="A268" s="85" t="str">
        <f>IF(C268="","",VLOOKUP('OPĆI DIO'!$C$3,'OPĆI DIO'!$L$6:$U$138,10,FALSE))</f>
        <v/>
      </c>
      <c r="B268" s="85" t="str">
        <f>IF(C268="","",VLOOKUP('OPĆI DIO'!$C$3,'OPĆI DIO'!$L$6:$U$138,9,FALSE))</f>
        <v/>
      </c>
      <c r="C268" s="90"/>
      <c r="D268" s="85" t="str">
        <f t="shared" si="43"/>
        <v/>
      </c>
      <c r="E268" s="90"/>
      <c r="F268" s="85" t="str">
        <f t="shared" si="44"/>
        <v/>
      </c>
      <c r="G268" s="123"/>
      <c r="H268" s="85" t="str">
        <f t="shared" si="45"/>
        <v/>
      </c>
      <c r="I268" s="85" t="str">
        <f t="shared" si="46"/>
        <v/>
      </c>
      <c r="J268" s="122"/>
      <c r="K268" s="122"/>
      <c r="L268" s="122"/>
      <c r="M268" s="89"/>
      <c r="O268" t="str">
        <f t="shared" si="47"/>
        <v/>
      </c>
      <c r="P268" t="str">
        <f t="shared" si="48"/>
        <v/>
      </c>
      <c r="Q268" t="str">
        <f t="shared" si="49"/>
        <v/>
      </c>
      <c r="R268" t="str">
        <f t="shared" si="50"/>
        <v/>
      </c>
      <c r="AB268" t="s">
        <v>1065</v>
      </c>
      <c r="AC268" t="s">
        <v>1066</v>
      </c>
      <c r="AD268" t="s">
        <v>5155</v>
      </c>
      <c r="AE268" t="s">
        <v>5156</v>
      </c>
      <c r="AF268" t="s">
        <v>5177</v>
      </c>
      <c r="AG268" t="s">
        <v>5187</v>
      </c>
    </row>
    <row r="269" spans="1:33">
      <c r="A269" s="85" t="str">
        <f>IF(C269="","",VLOOKUP('OPĆI DIO'!$C$3,'OPĆI DIO'!$L$6:$U$138,10,FALSE))</f>
        <v/>
      </c>
      <c r="B269" s="85" t="str">
        <f>IF(C269="","",VLOOKUP('OPĆI DIO'!$C$3,'OPĆI DIO'!$L$6:$U$138,9,FALSE))</f>
        <v/>
      </c>
      <c r="C269" s="90"/>
      <c r="D269" s="85" t="str">
        <f t="shared" si="43"/>
        <v/>
      </c>
      <c r="E269" s="90"/>
      <c r="F269" s="85" t="str">
        <f t="shared" si="44"/>
        <v/>
      </c>
      <c r="G269" s="123"/>
      <c r="H269" s="85" t="str">
        <f t="shared" si="45"/>
        <v/>
      </c>
      <c r="I269" s="85" t="str">
        <f t="shared" si="46"/>
        <v/>
      </c>
      <c r="J269" s="122"/>
      <c r="K269" s="122"/>
      <c r="L269" s="122"/>
      <c r="M269" s="89"/>
      <c r="O269" t="str">
        <f t="shared" si="47"/>
        <v/>
      </c>
      <c r="P269" t="str">
        <f t="shared" si="48"/>
        <v/>
      </c>
      <c r="Q269" t="str">
        <f t="shared" si="49"/>
        <v/>
      </c>
      <c r="R269" t="str">
        <f t="shared" si="50"/>
        <v/>
      </c>
      <c r="AB269" t="s">
        <v>1067</v>
      </c>
      <c r="AC269" t="s">
        <v>1666</v>
      </c>
      <c r="AD269" t="s">
        <v>5155</v>
      </c>
      <c r="AE269" t="s">
        <v>5156</v>
      </c>
      <c r="AF269" t="s">
        <v>5177</v>
      </c>
      <c r="AG269" t="s">
        <v>5187</v>
      </c>
    </row>
    <row r="270" spans="1:33">
      <c r="A270" s="85" t="str">
        <f>IF(C270="","",VLOOKUP('OPĆI DIO'!$C$3,'OPĆI DIO'!$L$6:$U$138,10,FALSE))</f>
        <v/>
      </c>
      <c r="B270" s="85" t="str">
        <f>IF(C270="","",VLOOKUP('OPĆI DIO'!$C$3,'OPĆI DIO'!$L$6:$U$138,9,FALSE))</f>
        <v/>
      </c>
      <c r="C270" s="90"/>
      <c r="D270" s="85" t="str">
        <f t="shared" si="43"/>
        <v/>
      </c>
      <c r="E270" s="90"/>
      <c r="F270" s="85" t="str">
        <f t="shared" si="44"/>
        <v/>
      </c>
      <c r="G270" s="123"/>
      <c r="H270" s="85" t="str">
        <f t="shared" si="45"/>
        <v/>
      </c>
      <c r="I270" s="85" t="str">
        <f t="shared" si="46"/>
        <v/>
      </c>
      <c r="J270" s="122"/>
      <c r="K270" s="122"/>
      <c r="L270" s="122"/>
      <c r="M270" s="89"/>
      <c r="O270" t="str">
        <f t="shared" si="47"/>
        <v/>
      </c>
      <c r="P270" t="str">
        <f t="shared" si="48"/>
        <v/>
      </c>
      <c r="Q270" t="str">
        <f t="shared" si="49"/>
        <v/>
      </c>
      <c r="R270" t="str">
        <f t="shared" si="50"/>
        <v/>
      </c>
      <c r="AB270" t="s">
        <v>1068</v>
      </c>
      <c r="AC270" t="s">
        <v>1069</v>
      </c>
      <c r="AD270" t="s">
        <v>5155</v>
      </c>
      <c r="AE270" t="s">
        <v>5156</v>
      </c>
      <c r="AF270" t="s">
        <v>5177</v>
      </c>
      <c r="AG270" t="s">
        <v>5187</v>
      </c>
    </row>
    <row r="271" spans="1:33">
      <c r="A271" s="85" t="str">
        <f>IF(C271="","",VLOOKUP('OPĆI DIO'!$C$3,'OPĆI DIO'!$L$6:$U$138,10,FALSE))</f>
        <v/>
      </c>
      <c r="B271" s="85" t="str">
        <f>IF(C271="","",VLOOKUP('OPĆI DIO'!$C$3,'OPĆI DIO'!$L$6:$U$138,9,FALSE))</f>
        <v/>
      </c>
      <c r="C271" s="90"/>
      <c r="D271" s="85" t="str">
        <f t="shared" si="43"/>
        <v/>
      </c>
      <c r="E271" s="90"/>
      <c r="F271" s="85" t="str">
        <f t="shared" si="44"/>
        <v/>
      </c>
      <c r="G271" s="123"/>
      <c r="H271" s="85" t="str">
        <f t="shared" si="45"/>
        <v/>
      </c>
      <c r="I271" s="85" t="str">
        <f t="shared" si="46"/>
        <v/>
      </c>
      <c r="J271" s="122"/>
      <c r="K271" s="122"/>
      <c r="L271" s="122"/>
      <c r="M271" s="89"/>
      <c r="O271" t="str">
        <f t="shared" si="47"/>
        <v/>
      </c>
      <c r="P271" t="str">
        <f t="shared" si="48"/>
        <v/>
      </c>
      <c r="Q271" t="str">
        <f t="shared" si="49"/>
        <v/>
      </c>
      <c r="R271" t="str">
        <f t="shared" si="50"/>
        <v/>
      </c>
      <c r="AB271" t="s">
        <v>3511</v>
      </c>
      <c r="AC271" t="s">
        <v>3512</v>
      </c>
      <c r="AD271" t="s">
        <v>5155</v>
      </c>
      <c r="AE271" t="s">
        <v>5156</v>
      </c>
      <c r="AF271" t="s">
        <v>5177</v>
      </c>
      <c r="AG271" t="s">
        <v>5187</v>
      </c>
    </row>
    <row r="272" spans="1:33">
      <c r="A272" s="85" t="str">
        <f>IF(C272="","",VLOOKUP('OPĆI DIO'!$C$3,'OPĆI DIO'!$L$6:$U$138,10,FALSE))</f>
        <v/>
      </c>
      <c r="B272" s="85" t="str">
        <f>IF(C272="","",VLOOKUP('OPĆI DIO'!$C$3,'OPĆI DIO'!$L$6:$U$138,9,FALSE))</f>
        <v/>
      </c>
      <c r="C272" s="90"/>
      <c r="D272" s="85" t="str">
        <f t="shared" si="43"/>
        <v/>
      </c>
      <c r="E272" s="90"/>
      <c r="F272" s="85" t="str">
        <f t="shared" si="44"/>
        <v/>
      </c>
      <c r="G272" s="123"/>
      <c r="H272" s="85" t="str">
        <f t="shared" si="45"/>
        <v/>
      </c>
      <c r="I272" s="85" t="str">
        <f t="shared" si="46"/>
        <v/>
      </c>
      <c r="J272" s="122"/>
      <c r="K272" s="122"/>
      <c r="L272" s="122"/>
      <c r="M272" s="89"/>
      <c r="O272" t="str">
        <f t="shared" si="47"/>
        <v/>
      </c>
      <c r="P272" t="str">
        <f t="shared" si="48"/>
        <v/>
      </c>
      <c r="Q272" t="str">
        <f t="shared" si="49"/>
        <v/>
      </c>
      <c r="R272" t="str">
        <f t="shared" si="50"/>
        <v/>
      </c>
      <c r="AB272" t="s">
        <v>1070</v>
      </c>
      <c r="AC272" t="s">
        <v>1071</v>
      </c>
      <c r="AD272" t="s">
        <v>5155</v>
      </c>
      <c r="AE272" t="s">
        <v>5156</v>
      </c>
      <c r="AF272" t="s">
        <v>5177</v>
      </c>
      <c r="AG272" t="s">
        <v>5187</v>
      </c>
    </row>
    <row r="273" spans="1:33">
      <c r="A273" s="85" t="str">
        <f>IF(C273="","",VLOOKUP('OPĆI DIO'!$C$3,'OPĆI DIO'!$L$6:$U$138,10,FALSE))</f>
        <v/>
      </c>
      <c r="B273" s="85" t="str">
        <f>IF(C273="","",VLOOKUP('OPĆI DIO'!$C$3,'OPĆI DIO'!$L$6:$U$138,9,FALSE))</f>
        <v/>
      </c>
      <c r="C273" s="90"/>
      <c r="D273" s="85" t="str">
        <f t="shared" si="43"/>
        <v/>
      </c>
      <c r="E273" s="90"/>
      <c r="F273" s="85" t="str">
        <f t="shared" si="44"/>
        <v/>
      </c>
      <c r="G273" s="123"/>
      <c r="H273" s="85" t="str">
        <f t="shared" si="45"/>
        <v/>
      </c>
      <c r="I273" s="85" t="str">
        <f t="shared" si="46"/>
        <v/>
      </c>
      <c r="J273" s="122"/>
      <c r="K273" s="122"/>
      <c r="L273" s="122"/>
      <c r="M273" s="89"/>
      <c r="O273" t="str">
        <f t="shared" si="47"/>
        <v/>
      </c>
      <c r="P273" t="str">
        <f t="shared" si="48"/>
        <v/>
      </c>
      <c r="Q273" t="str">
        <f t="shared" si="49"/>
        <v/>
      </c>
      <c r="R273" t="str">
        <f t="shared" si="50"/>
        <v/>
      </c>
      <c r="AB273" t="s">
        <v>2014</v>
      </c>
      <c r="AC273" t="s">
        <v>2015</v>
      </c>
      <c r="AD273" t="s">
        <v>5155</v>
      </c>
      <c r="AE273" t="s">
        <v>5156</v>
      </c>
      <c r="AF273" t="s">
        <v>5177</v>
      </c>
      <c r="AG273" t="s">
        <v>5187</v>
      </c>
    </row>
    <row r="274" spans="1:33">
      <c r="A274" s="85" t="str">
        <f>IF(C274="","",VLOOKUP('OPĆI DIO'!$C$3,'OPĆI DIO'!$L$6:$U$138,10,FALSE))</f>
        <v/>
      </c>
      <c r="B274" s="85" t="str">
        <f>IF(C274="","",VLOOKUP('OPĆI DIO'!$C$3,'OPĆI DIO'!$L$6:$U$138,9,FALSE))</f>
        <v/>
      </c>
      <c r="C274" s="90"/>
      <c r="D274" s="85" t="str">
        <f t="shared" si="43"/>
        <v/>
      </c>
      <c r="E274" s="90"/>
      <c r="F274" s="85" t="str">
        <f t="shared" si="44"/>
        <v/>
      </c>
      <c r="G274" s="123"/>
      <c r="H274" s="85" t="str">
        <f t="shared" si="45"/>
        <v/>
      </c>
      <c r="I274" s="85" t="str">
        <f t="shared" si="46"/>
        <v/>
      </c>
      <c r="J274" s="122"/>
      <c r="K274" s="122"/>
      <c r="L274" s="122"/>
      <c r="M274" s="89"/>
      <c r="O274" t="str">
        <f t="shared" si="47"/>
        <v/>
      </c>
      <c r="P274" t="str">
        <f t="shared" si="48"/>
        <v/>
      </c>
      <c r="Q274" t="str">
        <f t="shared" si="49"/>
        <v/>
      </c>
      <c r="R274" t="str">
        <f t="shared" si="50"/>
        <v/>
      </c>
      <c r="AB274" t="s">
        <v>2016</v>
      </c>
      <c r="AC274" t="s">
        <v>3513</v>
      </c>
      <c r="AD274" t="s">
        <v>5155</v>
      </c>
      <c r="AE274" t="s">
        <v>5156</v>
      </c>
      <c r="AF274" t="s">
        <v>5177</v>
      </c>
      <c r="AG274" t="s">
        <v>5187</v>
      </c>
    </row>
    <row r="275" spans="1:33">
      <c r="A275" s="85" t="str">
        <f>IF(C275="","",VLOOKUP('OPĆI DIO'!$C$3,'OPĆI DIO'!$L$6:$U$138,10,FALSE))</f>
        <v/>
      </c>
      <c r="B275" s="85" t="str">
        <f>IF(C275="","",VLOOKUP('OPĆI DIO'!$C$3,'OPĆI DIO'!$L$6:$U$138,9,FALSE))</f>
        <v/>
      </c>
      <c r="C275" s="90"/>
      <c r="D275" s="85" t="str">
        <f t="shared" si="43"/>
        <v/>
      </c>
      <c r="E275" s="90"/>
      <c r="F275" s="85" t="str">
        <f t="shared" si="44"/>
        <v/>
      </c>
      <c r="G275" s="123"/>
      <c r="H275" s="85" t="str">
        <f t="shared" si="45"/>
        <v/>
      </c>
      <c r="I275" s="85" t="str">
        <f t="shared" si="46"/>
        <v/>
      </c>
      <c r="J275" s="122"/>
      <c r="K275" s="122"/>
      <c r="L275" s="122"/>
      <c r="M275" s="89"/>
      <c r="O275" t="str">
        <f t="shared" si="47"/>
        <v/>
      </c>
      <c r="P275" t="str">
        <f t="shared" si="48"/>
        <v/>
      </c>
      <c r="Q275" t="str">
        <f t="shared" si="49"/>
        <v/>
      </c>
      <c r="R275" t="str">
        <f t="shared" si="50"/>
        <v/>
      </c>
      <c r="AB275" t="s">
        <v>1074</v>
      </c>
      <c r="AC275" t="s">
        <v>1075</v>
      </c>
      <c r="AD275" t="s">
        <v>5155</v>
      </c>
      <c r="AE275" t="s">
        <v>5156</v>
      </c>
      <c r="AF275" t="s">
        <v>5177</v>
      </c>
      <c r="AG275" t="s">
        <v>5187</v>
      </c>
    </row>
    <row r="276" spans="1:33">
      <c r="A276" s="85" t="str">
        <f>IF(C276="","",VLOOKUP('OPĆI DIO'!$C$3,'OPĆI DIO'!$L$6:$U$138,10,FALSE))</f>
        <v/>
      </c>
      <c r="B276" s="85" t="str">
        <f>IF(C276="","",VLOOKUP('OPĆI DIO'!$C$3,'OPĆI DIO'!$L$6:$U$138,9,FALSE))</f>
        <v/>
      </c>
      <c r="C276" s="90"/>
      <c r="D276" s="85" t="str">
        <f t="shared" si="43"/>
        <v/>
      </c>
      <c r="E276" s="90"/>
      <c r="F276" s="85" t="str">
        <f t="shared" si="44"/>
        <v/>
      </c>
      <c r="G276" s="123"/>
      <c r="H276" s="85" t="str">
        <f t="shared" si="45"/>
        <v/>
      </c>
      <c r="I276" s="85" t="str">
        <f t="shared" si="46"/>
        <v/>
      </c>
      <c r="J276" s="122"/>
      <c r="K276" s="122"/>
      <c r="L276" s="122"/>
      <c r="M276" s="89"/>
      <c r="O276" t="str">
        <f t="shared" si="47"/>
        <v/>
      </c>
      <c r="P276" t="str">
        <f t="shared" si="48"/>
        <v/>
      </c>
      <c r="Q276" t="str">
        <f t="shared" si="49"/>
        <v/>
      </c>
      <c r="R276" t="str">
        <f t="shared" si="50"/>
        <v/>
      </c>
      <c r="AB276" t="s">
        <v>1076</v>
      </c>
      <c r="AC276" t="s">
        <v>1077</v>
      </c>
      <c r="AD276" t="s">
        <v>5155</v>
      </c>
      <c r="AE276" t="s">
        <v>5156</v>
      </c>
      <c r="AF276" t="s">
        <v>5177</v>
      </c>
      <c r="AG276" t="s">
        <v>5187</v>
      </c>
    </row>
    <row r="277" spans="1:33">
      <c r="A277" s="85" t="str">
        <f>IF(C277="","",VLOOKUP('OPĆI DIO'!$C$3,'OPĆI DIO'!$L$6:$U$138,10,FALSE))</f>
        <v/>
      </c>
      <c r="B277" s="85" t="str">
        <f>IF(C277="","",VLOOKUP('OPĆI DIO'!$C$3,'OPĆI DIO'!$L$6:$U$138,9,FALSE))</f>
        <v/>
      </c>
      <c r="C277" s="90"/>
      <c r="D277" s="85" t="str">
        <f t="shared" si="43"/>
        <v/>
      </c>
      <c r="E277" s="90"/>
      <c r="F277" s="85" t="str">
        <f t="shared" si="44"/>
        <v/>
      </c>
      <c r="G277" s="123"/>
      <c r="H277" s="85" t="str">
        <f t="shared" si="45"/>
        <v/>
      </c>
      <c r="I277" s="85" t="str">
        <f t="shared" si="46"/>
        <v/>
      </c>
      <c r="J277" s="122"/>
      <c r="K277" s="122"/>
      <c r="L277" s="122"/>
      <c r="M277" s="89"/>
      <c r="O277" t="str">
        <f t="shared" si="47"/>
        <v/>
      </c>
      <c r="P277" t="str">
        <f t="shared" si="48"/>
        <v/>
      </c>
      <c r="Q277" t="str">
        <f t="shared" si="49"/>
        <v/>
      </c>
      <c r="R277" t="str">
        <f t="shared" si="50"/>
        <v/>
      </c>
      <c r="AB277" t="s">
        <v>1078</v>
      </c>
      <c r="AC277" t="s">
        <v>1079</v>
      </c>
      <c r="AD277" t="s">
        <v>5155</v>
      </c>
      <c r="AE277" t="s">
        <v>5156</v>
      </c>
      <c r="AF277" t="s">
        <v>5177</v>
      </c>
      <c r="AG277" t="s">
        <v>5187</v>
      </c>
    </row>
    <row r="278" spans="1:33">
      <c r="A278" s="85" t="str">
        <f>IF(C278="","",VLOOKUP('OPĆI DIO'!$C$3,'OPĆI DIO'!$L$6:$U$138,10,FALSE))</f>
        <v/>
      </c>
      <c r="B278" s="85" t="str">
        <f>IF(C278="","",VLOOKUP('OPĆI DIO'!$C$3,'OPĆI DIO'!$L$6:$U$138,9,FALSE))</f>
        <v/>
      </c>
      <c r="C278" s="90"/>
      <c r="D278" s="85" t="str">
        <f t="shared" si="43"/>
        <v/>
      </c>
      <c r="E278" s="90"/>
      <c r="F278" s="85" t="str">
        <f t="shared" si="44"/>
        <v/>
      </c>
      <c r="G278" s="123"/>
      <c r="H278" s="85" t="str">
        <f t="shared" si="45"/>
        <v/>
      </c>
      <c r="I278" s="85" t="str">
        <f t="shared" si="46"/>
        <v/>
      </c>
      <c r="J278" s="122"/>
      <c r="K278" s="122"/>
      <c r="L278" s="122"/>
      <c r="M278" s="89"/>
      <c r="O278" t="str">
        <f t="shared" si="47"/>
        <v/>
      </c>
      <c r="P278" t="str">
        <f t="shared" si="48"/>
        <v/>
      </c>
      <c r="Q278" t="str">
        <f t="shared" si="49"/>
        <v/>
      </c>
      <c r="R278" t="str">
        <f t="shared" si="50"/>
        <v/>
      </c>
      <c r="AB278" t="s">
        <v>1080</v>
      </c>
      <c r="AC278" t="s">
        <v>1081</v>
      </c>
      <c r="AD278" t="s">
        <v>5155</v>
      </c>
      <c r="AE278" t="s">
        <v>5156</v>
      </c>
      <c r="AF278" t="s">
        <v>5177</v>
      </c>
      <c r="AG278" t="s">
        <v>5187</v>
      </c>
    </row>
    <row r="279" spans="1:33">
      <c r="A279" s="85" t="str">
        <f>IF(C279="","",VLOOKUP('OPĆI DIO'!$C$3,'OPĆI DIO'!$L$6:$U$138,10,FALSE))</f>
        <v/>
      </c>
      <c r="B279" s="85" t="str">
        <f>IF(C279="","",VLOOKUP('OPĆI DIO'!$C$3,'OPĆI DIO'!$L$6:$U$138,9,FALSE))</f>
        <v/>
      </c>
      <c r="C279" s="90"/>
      <c r="D279" s="85" t="str">
        <f t="shared" si="43"/>
        <v/>
      </c>
      <c r="E279" s="90"/>
      <c r="F279" s="85" t="str">
        <f t="shared" si="44"/>
        <v/>
      </c>
      <c r="G279" s="123"/>
      <c r="H279" s="85" t="str">
        <f t="shared" si="45"/>
        <v/>
      </c>
      <c r="I279" s="85" t="str">
        <f t="shared" si="46"/>
        <v/>
      </c>
      <c r="J279" s="122"/>
      <c r="K279" s="122"/>
      <c r="L279" s="122"/>
      <c r="M279" s="89"/>
      <c r="O279" t="str">
        <f t="shared" si="47"/>
        <v/>
      </c>
      <c r="P279" t="str">
        <f t="shared" si="48"/>
        <v/>
      </c>
      <c r="Q279" t="str">
        <f t="shared" si="49"/>
        <v/>
      </c>
      <c r="R279" t="str">
        <f t="shared" si="50"/>
        <v/>
      </c>
      <c r="AB279" t="s">
        <v>1082</v>
      </c>
      <c r="AC279" t="s">
        <v>1083</v>
      </c>
      <c r="AD279" t="s">
        <v>5155</v>
      </c>
      <c r="AE279" t="s">
        <v>5156</v>
      </c>
      <c r="AF279" t="s">
        <v>5177</v>
      </c>
      <c r="AG279" t="s">
        <v>5187</v>
      </c>
    </row>
    <row r="280" spans="1:33">
      <c r="A280" s="85" t="str">
        <f>IF(C280="","",VLOOKUP('OPĆI DIO'!$C$3,'OPĆI DIO'!$L$6:$U$138,10,FALSE))</f>
        <v/>
      </c>
      <c r="B280" s="85" t="str">
        <f>IF(C280="","",VLOOKUP('OPĆI DIO'!$C$3,'OPĆI DIO'!$L$6:$U$138,9,FALSE))</f>
        <v/>
      </c>
      <c r="C280" s="90"/>
      <c r="D280" s="85" t="str">
        <f t="shared" si="43"/>
        <v/>
      </c>
      <c r="E280" s="90"/>
      <c r="F280" s="85" t="str">
        <f t="shared" si="44"/>
        <v/>
      </c>
      <c r="G280" s="123"/>
      <c r="H280" s="85" t="str">
        <f t="shared" si="45"/>
        <v/>
      </c>
      <c r="I280" s="85" t="str">
        <f t="shared" si="46"/>
        <v/>
      </c>
      <c r="J280" s="122"/>
      <c r="K280" s="122"/>
      <c r="L280" s="122"/>
      <c r="M280" s="89"/>
      <c r="O280" t="str">
        <f t="shared" si="47"/>
        <v/>
      </c>
      <c r="P280" t="str">
        <f t="shared" si="48"/>
        <v/>
      </c>
      <c r="Q280" t="str">
        <f t="shared" si="49"/>
        <v/>
      </c>
      <c r="R280" t="str">
        <f t="shared" si="50"/>
        <v/>
      </c>
      <c r="AB280" t="s">
        <v>1084</v>
      </c>
      <c r="AC280" t="s">
        <v>1085</v>
      </c>
      <c r="AD280" t="s">
        <v>5155</v>
      </c>
      <c r="AE280" t="s">
        <v>5156</v>
      </c>
      <c r="AF280" t="s">
        <v>5177</v>
      </c>
      <c r="AG280" t="s">
        <v>5187</v>
      </c>
    </row>
    <row r="281" spans="1:33">
      <c r="A281" s="85" t="str">
        <f>IF(C281="","",VLOOKUP('OPĆI DIO'!$C$3,'OPĆI DIO'!$L$6:$U$138,10,FALSE))</f>
        <v/>
      </c>
      <c r="B281" s="85" t="str">
        <f>IF(C281="","",VLOOKUP('OPĆI DIO'!$C$3,'OPĆI DIO'!$L$6:$U$138,9,FALSE))</f>
        <v/>
      </c>
      <c r="C281" s="90"/>
      <c r="D281" s="85" t="str">
        <f t="shared" si="43"/>
        <v/>
      </c>
      <c r="E281" s="90"/>
      <c r="F281" s="85" t="str">
        <f t="shared" si="44"/>
        <v/>
      </c>
      <c r="G281" s="123"/>
      <c r="H281" s="85" t="str">
        <f t="shared" si="45"/>
        <v/>
      </c>
      <c r="I281" s="85" t="str">
        <f t="shared" si="46"/>
        <v/>
      </c>
      <c r="J281" s="122"/>
      <c r="K281" s="122"/>
      <c r="L281" s="122"/>
      <c r="M281" s="89"/>
      <c r="O281" t="str">
        <f t="shared" si="47"/>
        <v/>
      </c>
      <c r="P281" t="str">
        <f t="shared" si="48"/>
        <v/>
      </c>
      <c r="Q281" t="str">
        <f t="shared" si="49"/>
        <v/>
      </c>
      <c r="R281" t="str">
        <f t="shared" si="50"/>
        <v/>
      </c>
      <c r="AB281" t="s">
        <v>1086</v>
      </c>
      <c r="AC281" t="s">
        <v>1087</v>
      </c>
      <c r="AD281" t="s">
        <v>5155</v>
      </c>
      <c r="AE281" t="s">
        <v>5156</v>
      </c>
      <c r="AF281" t="s">
        <v>5177</v>
      </c>
      <c r="AG281" t="s">
        <v>5187</v>
      </c>
    </row>
    <row r="282" spans="1:33">
      <c r="A282" s="85" t="str">
        <f>IF(C282="","",VLOOKUP('OPĆI DIO'!$C$3,'OPĆI DIO'!$L$6:$U$138,10,FALSE))</f>
        <v/>
      </c>
      <c r="B282" s="85" t="str">
        <f>IF(C282="","",VLOOKUP('OPĆI DIO'!$C$3,'OPĆI DIO'!$L$6:$U$138,9,FALSE))</f>
        <v/>
      </c>
      <c r="C282" s="90"/>
      <c r="D282" s="85" t="str">
        <f t="shared" si="43"/>
        <v/>
      </c>
      <c r="E282" s="90"/>
      <c r="F282" s="85" t="str">
        <f t="shared" si="44"/>
        <v/>
      </c>
      <c r="G282" s="123"/>
      <c r="H282" s="85" t="str">
        <f t="shared" si="45"/>
        <v/>
      </c>
      <c r="I282" s="85" t="str">
        <f t="shared" si="46"/>
        <v/>
      </c>
      <c r="J282" s="122"/>
      <c r="K282" s="122"/>
      <c r="L282" s="122"/>
      <c r="M282" s="89"/>
      <c r="O282" t="str">
        <f t="shared" si="47"/>
        <v/>
      </c>
      <c r="P282" t="str">
        <f t="shared" si="48"/>
        <v/>
      </c>
      <c r="Q282" t="str">
        <f t="shared" si="49"/>
        <v/>
      </c>
      <c r="R282" t="str">
        <f t="shared" si="50"/>
        <v/>
      </c>
      <c r="AB282" t="s">
        <v>1088</v>
      </c>
      <c r="AC282" t="s">
        <v>1089</v>
      </c>
      <c r="AD282" t="s">
        <v>5155</v>
      </c>
      <c r="AE282" t="s">
        <v>5156</v>
      </c>
      <c r="AF282" t="s">
        <v>5177</v>
      </c>
      <c r="AG282" t="s">
        <v>5187</v>
      </c>
    </row>
    <row r="283" spans="1:33">
      <c r="A283" s="85" t="str">
        <f>IF(C283="","",VLOOKUP('OPĆI DIO'!$C$3,'OPĆI DIO'!$L$6:$U$138,10,FALSE))</f>
        <v/>
      </c>
      <c r="B283" s="85" t="str">
        <f>IF(C283="","",VLOOKUP('OPĆI DIO'!$C$3,'OPĆI DIO'!$L$6:$U$138,9,FALSE))</f>
        <v/>
      </c>
      <c r="C283" s="90"/>
      <c r="D283" s="85" t="str">
        <f t="shared" si="43"/>
        <v/>
      </c>
      <c r="E283" s="90"/>
      <c r="F283" s="85" t="str">
        <f t="shared" si="44"/>
        <v/>
      </c>
      <c r="G283" s="123"/>
      <c r="H283" s="85" t="str">
        <f t="shared" si="45"/>
        <v/>
      </c>
      <c r="I283" s="85" t="str">
        <f t="shared" si="46"/>
        <v/>
      </c>
      <c r="J283" s="122"/>
      <c r="K283" s="122"/>
      <c r="L283" s="122"/>
      <c r="M283" s="89"/>
      <c r="O283" t="str">
        <f t="shared" si="47"/>
        <v/>
      </c>
      <c r="P283" t="str">
        <f t="shared" si="48"/>
        <v/>
      </c>
      <c r="Q283" t="str">
        <f t="shared" si="49"/>
        <v/>
      </c>
      <c r="R283" t="str">
        <f t="shared" si="50"/>
        <v/>
      </c>
      <c r="AB283" t="s">
        <v>1090</v>
      </c>
      <c r="AC283" t="s">
        <v>1091</v>
      </c>
      <c r="AD283" t="s">
        <v>5155</v>
      </c>
      <c r="AE283" t="s">
        <v>5156</v>
      </c>
      <c r="AF283" t="s">
        <v>5177</v>
      </c>
      <c r="AG283" t="s">
        <v>5187</v>
      </c>
    </row>
    <row r="284" spans="1:33">
      <c r="A284" s="85" t="str">
        <f>IF(C284="","",VLOOKUP('OPĆI DIO'!$C$3,'OPĆI DIO'!$L$6:$U$138,10,FALSE))</f>
        <v/>
      </c>
      <c r="B284" s="85" t="str">
        <f>IF(C284="","",VLOOKUP('OPĆI DIO'!$C$3,'OPĆI DIO'!$L$6:$U$138,9,FALSE))</f>
        <v/>
      </c>
      <c r="C284" s="90"/>
      <c r="D284" s="85" t="str">
        <f t="shared" si="43"/>
        <v/>
      </c>
      <c r="E284" s="90"/>
      <c r="F284" s="85" t="str">
        <f t="shared" si="44"/>
        <v/>
      </c>
      <c r="G284" s="123"/>
      <c r="H284" s="85" t="str">
        <f t="shared" si="45"/>
        <v/>
      </c>
      <c r="I284" s="85" t="str">
        <f t="shared" si="46"/>
        <v/>
      </c>
      <c r="J284" s="122"/>
      <c r="K284" s="122"/>
      <c r="L284" s="122"/>
      <c r="M284" s="89"/>
      <c r="O284" t="str">
        <f t="shared" si="47"/>
        <v/>
      </c>
      <c r="P284" t="str">
        <f t="shared" si="48"/>
        <v/>
      </c>
      <c r="Q284" t="str">
        <f t="shared" si="49"/>
        <v/>
      </c>
      <c r="R284" t="str">
        <f t="shared" si="50"/>
        <v/>
      </c>
      <c r="AB284" t="s">
        <v>1092</v>
      </c>
      <c r="AC284" t="s">
        <v>3514</v>
      </c>
      <c r="AD284" t="s">
        <v>5155</v>
      </c>
      <c r="AE284" t="s">
        <v>5156</v>
      </c>
      <c r="AF284" t="s">
        <v>5177</v>
      </c>
      <c r="AG284" t="s">
        <v>5187</v>
      </c>
    </row>
    <row r="285" spans="1:33">
      <c r="A285" s="85" t="str">
        <f>IF(C285="","",VLOOKUP('OPĆI DIO'!$C$3,'OPĆI DIO'!$L$6:$U$138,10,FALSE))</f>
        <v/>
      </c>
      <c r="B285" s="85" t="str">
        <f>IF(C285="","",VLOOKUP('OPĆI DIO'!$C$3,'OPĆI DIO'!$L$6:$U$138,9,FALSE))</f>
        <v/>
      </c>
      <c r="C285" s="90"/>
      <c r="D285" s="85" t="str">
        <f t="shared" si="43"/>
        <v/>
      </c>
      <c r="E285" s="90"/>
      <c r="F285" s="85" t="str">
        <f t="shared" si="44"/>
        <v/>
      </c>
      <c r="G285" s="123"/>
      <c r="H285" s="85" t="str">
        <f t="shared" si="45"/>
        <v/>
      </c>
      <c r="I285" s="85" t="str">
        <f t="shared" si="46"/>
        <v/>
      </c>
      <c r="J285" s="122"/>
      <c r="K285" s="122"/>
      <c r="L285" s="122"/>
      <c r="M285" s="89"/>
      <c r="O285" t="str">
        <f t="shared" si="47"/>
        <v/>
      </c>
      <c r="P285" t="str">
        <f t="shared" si="48"/>
        <v/>
      </c>
      <c r="Q285" t="str">
        <f t="shared" si="49"/>
        <v/>
      </c>
      <c r="R285" t="str">
        <f t="shared" si="50"/>
        <v/>
      </c>
      <c r="AB285" t="s">
        <v>1093</v>
      </c>
      <c r="AC285" t="s">
        <v>1667</v>
      </c>
      <c r="AD285" t="s">
        <v>5155</v>
      </c>
      <c r="AE285" t="s">
        <v>5156</v>
      </c>
      <c r="AF285" t="s">
        <v>5177</v>
      </c>
      <c r="AG285" t="s">
        <v>5187</v>
      </c>
    </row>
    <row r="286" spans="1:33">
      <c r="A286" s="85" t="str">
        <f>IF(C286="","",VLOOKUP('OPĆI DIO'!$C$3,'OPĆI DIO'!$L$6:$U$138,10,FALSE))</f>
        <v/>
      </c>
      <c r="B286" s="85" t="str">
        <f>IF(C286="","",VLOOKUP('OPĆI DIO'!$C$3,'OPĆI DIO'!$L$6:$U$138,9,FALSE))</f>
        <v/>
      </c>
      <c r="C286" s="90"/>
      <c r="D286" s="85" t="str">
        <f t="shared" si="43"/>
        <v/>
      </c>
      <c r="E286" s="90"/>
      <c r="F286" s="85" t="str">
        <f t="shared" si="44"/>
        <v/>
      </c>
      <c r="G286" s="123"/>
      <c r="H286" s="85" t="str">
        <f t="shared" si="45"/>
        <v/>
      </c>
      <c r="I286" s="85" t="str">
        <f t="shared" si="46"/>
        <v/>
      </c>
      <c r="J286" s="122"/>
      <c r="K286" s="122"/>
      <c r="L286" s="122"/>
      <c r="M286" s="89"/>
      <c r="O286" t="str">
        <f t="shared" si="47"/>
        <v/>
      </c>
      <c r="P286" t="str">
        <f t="shared" si="48"/>
        <v/>
      </c>
      <c r="Q286" t="str">
        <f t="shared" si="49"/>
        <v/>
      </c>
      <c r="R286" t="str">
        <f t="shared" si="50"/>
        <v/>
      </c>
      <c r="AB286" t="s">
        <v>1094</v>
      </c>
      <c r="AC286" t="s">
        <v>1668</v>
      </c>
      <c r="AD286" t="s">
        <v>5155</v>
      </c>
      <c r="AE286" t="s">
        <v>5156</v>
      </c>
      <c r="AF286" t="s">
        <v>5177</v>
      </c>
      <c r="AG286" t="s">
        <v>5187</v>
      </c>
    </row>
    <row r="287" spans="1:33">
      <c r="A287" s="85" t="str">
        <f>IF(C287="","",VLOOKUP('OPĆI DIO'!$C$3,'OPĆI DIO'!$L$6:$U$138,10,FALSE))</f>
        <v/>
      </c>
      <c r="B287" s="85" t="str">
        <f>IF(C287="","",VLOOKUP('OPĆI DIO'!$C$3,'OPĆI DIO'!$L$6:$U$138,9,FALSE))</f>
        <v/>
      </c>
      <c r="C287" s="90"/>
      <c r="D287" s="85" t="str">
        <f t="shared" si="43"/>
        <v/>
      </c>
      <c r="E287" s="90"/>
      <c r="F287" s="85" t="str">
        <f t="shared" si="44"/>
        <v/>
      </c>
      <c r="G287" s="123"/>
      <c r="H287" s="85" t="str">
        <f t="shared" si="45"/>
        <v/>
      </c>
      <c r="I287" s="85" t="str">
        <f t="shared" si="46"/>
        <v/>
      </c>
      <c r="J287" s="122"/>
      <c r="K287" s="122"/>
      <c r="L287" s="122"/>
      <c r="M287" s="89"/>
      <c r="O287" t="str">
        <f t="shared" si="47"/>
        <v/>
      </c>
      <c r="P287" t="str">
        <f t="shared" si="48"/>
        <v/>
      </c>
      <c r="Q287" t="str">
        <f t="shared" si="49"/>
        <v/>
      </c>
      <c r="R287" t="str">
        <f t="shared" si="50"/>
        <v/>
      </c>
      <c r="AB287" t="s">
        <v>1095</v>
      </c>
      <c r="AC287" t="s">
        <v>1669</v>
      </c>
      <c r="AD287" t="s">
        <v>5155</v>
      </c>
      <c r="AE287" t="s">
        <v>5156</v>
      </c>
      <c r="AF287" t="s">
        <v>5177</v>
      </c>
      <c r="AG287" t="s">
        <v>5187</v>
      </c>
    </row>
    <row r="288" spans="1:33">
      <c r="A288" s="85" t="str">
        <f>IF(C288="","",VLOOKUP('OPĆI DIO'!$C$3,'OPĆI DIO'!$L$6:$U$138,10,FALSE))</f>
        <v/>
      </c>
      <c r="B288" s="85" t="str">
        <f>IF(C288="","",VLOOKUP('OPĆI DIO'!$C$3,'OPĆI DIO'!$L$6:$U$138,9,FALSE))</f>
        <v/>
      </c>
      <c r="C288" s="90"/>
      <c r="D288" s="85" t="str">
        <f t="shared" si="43"/>
        <v/>
      </c>
      <c r="E288" s="90"/>
      <c r="F288" s="85" t="str">
        <f t="shared" si="44"/>
        <v/>
      </c>
      <c r="G288" s="123"/>
      <c r="H288" s="85" t="str">
        <f t="shared" si="45"/>
        <v/>
      </c>
      <c r="I288" s="85" t="str">
        <f t="shared" si="46"/>
        <v/>
      </c>
      <c r="J288" s="122"/>
      <c r="K288" s="122"/>
      <c r="L288" s="122"/>
      <c r="M288" s="89"/>
      <c r="O288" t="str">
        <f t="shared" si="47"/>
        <v/>
      </c>
      <c r="P288" t="str">
        <f t="shared" si="48"/>
        <v/>
      </c>
      <c r="Q288" t="str">
        <f t="shared" si="49"/>
        <v/>
      </c>
      <c r="R288" t="str">
        <f t="shared" si="50"/>
        <v/>
      </c>
      <c r="AB288" t="s">
        <v>1096</v>
      </c>
      <c r="AC288" t="s">
        <v>1097</v>
      </c>
      <c r="AD288" t="s">
        <v>5155</v>
      </c>
      <c r="AE288" t="s">
        <v>5156</v>
      </c>
      <c r="AF288" t="s">
        <v>5177</v>
      </c>
      <c r="AG288" t="s">
        <v>5187</v>
      </c>
    </row>
    <row r="289" spans="1:33">
      <c r="A289" s="85" t="str">
        <f>IF(C289="","",VLOOKUP('OPĆI DIO'!$C$3,'OPĆI DIO'!$L$6:$U$138,10,FALSE))</f>
        <v/>
      </c>
      <c r="B289" s="85" t="str">
        <f>IF(C289="","",VLOOKUP('OPĆI DIO'!$C$3,'OPĆI DIO'!$L$6:$U$138,9,FALSE))</f>
        <v/>
      </c>
      <c r="C289" s="90"/>
      <c r="D289" s="85" t="str">
        <f t="shared" si="43"/>
        <v/>
      </c>
      <c r="E289" s="90"/>
      <c r="F289" s="85" t="str">
        <f t="shared" si="44"/>
        <v/>
      </c>
      <c r="G289" s="123"/>
      <c r="H289" s="85" t="str">
        <f t="shared" si="45"/>
        <v/>
      </c>
      <c r="I289" s="85" t="str">
        <f t="shared" si="46"/>
        <v/>
      </c>
      <c r="J289" s="122"/>
      <c r="K289" s="122"/>
      <c r="L289" s="122"/>
      <c r="M289" s="89"/>
      <c r="O289" t="str">
        <f t="shared" si="47"/>
        <v/>
      </c>
      <c r="P289" t="str">
        <f t="shared" si="48"/>
        <v/>
      </c>
      <c r="Q289" t="str">
        <f t="shared" si="49"/>
        <v/>
      </c>
      <c r="R289" t="str">
        <f t="shared" si="50"/>
        <v/>
      </c>
      <c r="AB289" t="s">
        <v>1098</v>
      </c>
      <c r="AC289" t="s">
        <v>1670</v>
      </c>
      <c r="AD289" t="s">
        <v>5155</v>
      </c>
      <c r="AE289" t="s">
        <v>5156</v>
      </c>
      <c r="AF289" t="s">
        <v>5177</v>
      </c>
      <c r="AG289" t="s">
        <v>5187</v>
      </c>
    </row>
    <row r="290" spans="1:33">
      <c r="A290" s="85" t="str">
        <f>IF(C290="","",VLOOKUP('OPĆI DIO'!$C$3,'OPĆI DIO'!$L$6:$U$138,10,FALSE))</f>
        <v/>
      </c>
      <c r="B290" s="85" t="str">
        <f>IF(C290="","",VLOOKUP('OPĆI DIO'!$C$3,'OPĆI DIO'!$L$6:$U$138,9,FALSE))</f>
        <v/>
      </c>
      <c r="C290" s="90"/>
      <c r="D290" s="85" t="str">
        <f t="shared" si="43"/>
        <v/>
      </c>
      <c r="E290" s="90"/>
      <c r="F290" s="85" t="str">
        <f t="shared" si="44"/>
        <v/>
      </c>
      <c r="G290" s="123"/>
      <c r="H290" s="85" t="str">
        <f t="shared" si="45"/>
        <v/>
      </c>
      <c r="I290" s="85" t="str">
        <f t="shared" si="46"/>
        <v/>
      </c>
      <c r="J290" s="122"/>
      <c r="K290" s="122"/>
      <c r="L290" s="122"/>
      <c r="M290" s="89"/>
      <c r="O290" t="str">
        <f t="shared" si="47"/>
        <v/>
      </c>
      <c r="P290" t="str">
        <f t="shared" si="48"/>
        <v/>
      </c>
      <c r="Q290" t="str">
        <f t="shared" si="49"/>
        <v/>
      </c>
      <c r="R290" t="str">
        <f t="shared" si="50"/>
        <v/>
      </c>
      <c r="AB290" t="s">
        <v>1099</v>
      </c>
      <c r="AC290" t="s">
        <v>1671</v>
      </c>
      <c r="AD290" t="s">
        <v>5155</v>
      </c>
      <c r="AE290" t="s">
        <v>5156</v>
      </c>
      <c r="AF290" t="s">
        <v>5177</v>
      </c>
      <c r="AG290" t="s">
        <v>5187</v>
      </c>
    </row>
    <row r="291" spans="1:33">
      <c r="A291" s="85" t="str">
        <f>IF(C291="","",VLOOKUP('OPĆI DIO'!$C$3,'OPĆI DIO'!$L$6:$U$138,10,FALSE))</f>
        <v/>
      </c>
      <c r="B291" s="85" t="str">
        <f>IF(C291="","",VLOOKUP('OPĆI DIO'!$C$3,'OPĆI DIO'!$L$6:$U$138,9,FALSE))</f>
        <v/>
      </c>
      <c r="C291" s="90"/>
      <c r="D291" s="85" t="str">
        <f t="shared" si="43"/>
        <v/>
      </c>
      <c r="E291" s="90"/>
      <c r="F291" s="85" t="str">
        <f t="shared" si="44"/>
        <v/>
      </c>
      <c r="G291" s="123"/>
      <c r="H291" s="85" t="str">
        <f t="shared" si="45"/>
        <v/>
      </c>
      <c r="I291" s="85" t="str">
        <f t="shared" si="46"/>
        <v/>
      </c>
      <c r="J291" s="122"/>
      <c r="K291" s="122"/>
      <c r="L291" s="122"/>
      <c r="M291" s="89"/>
      <c r="O291" t="str">
        <f t="shared" si="47"/>
        <v/>
      </c>
      <c r="P291" t="str">
        <f t="shared" si="48"/>
        <v/>
      </c>
      <c r="Q291" t="str">
        <f t="shared" si="49"/>
        <v/>
      </c>
      <c r="R291" t="str">
        <f t="shared" si="50"/>
        <v/>
      </c>
      <c r="AB291" t="s">
        <v>1100</v>
      </c>
      <c r="AC291" t="s">
        <v>1101</v>
      </c>
      <c r="AD291" t="s">
        <v>5155</v>
      </c>
      <c r="AE291" t="s">
        <v>5156</v>
      </c>
      <c r="AF291" t="s">
        <v>5177</v>
      </c>
      <c r="AG291" t="s">
        <v>5187</v>
      </c>
    </row>
    <row r="292" spans="1:33">
      <c r="A292" s="85" t="str">
        <f>IF(C292="","",VLOOKUP('OPĆI DIO'!$C$3,'OPĆI DIO'!$L$6:$U$138,10,FALSE))</f>
        <v/>
      </c>
      <c r="B292" s="85" t="str">
        <f>IF(C292="","",VLOOKUP('OPĆI DIO'!$C$3,'OPĆI DIO'!$L$6:$U$138,9,FALSE))</f>
        <v/>
      </c>
      <c r="C292" s="90"/>
      <c r="D292" s="85" t="str">
        <f t="shared" si="43"/>
        <v/>
      </c>
      <c r="E292" s="90"/>
      <c r="F292" s="85" t="str">
        <f t="shared" si="44"/>
        <v/>
      </c>
      <c r="G292" s="123"/>
      <c r="H292" s="85" t="str">
        <f t="shared" si="45"/>
        <v/>
      </c>
      <c r="I292" s="85" t="str">
        <f t="shared" si="46"/>
        <v/>
      </c>
      <c r="J292" s="122"/>
      <c r="K292" s="122"/>
      <c r="L292" s="122"/>
      <c r="M292" s="89"/>
      <c r="O292" t="str">
        <f t="shared" si="47"/>
        <v/>
      </c>
      <c r="P292" t="str">
        <f t="shared" si="48"/>
        <v/>
      </c>
      <c r="Q292" t="str">
        <f t="shared" si="49"/>
        <v/>
      </c>
      <c r="R292" t="str">
        <f t="shared" si="50"/>
        <v/>
      </c>
      <c r="AB292" t="s">
        <v>1102</v>
      </c>
      <c r="AC292" t="s">
        <v>1103</v>
      </c>
      <c r="AD292" t="s">
        <v>5155</v>
      </c>
      <c r="AE292" t="s">
        <v>5156</v>
      </c>
      <c r="AF292" t="s">
        <v>5177</v>
      </c>
      <c r="AG292" t="s">
        <v>5187</v>
      </c>
    </row>
    <row r="293" spans="1:33">
      <c r="A293" s="85" t="str">
        <f>IF(C293="","",VLOOKUP('OPĆI DIO'!$C$3,'OPĆI DIO'!$L$6:$U$138,10,FALSE))</f>
        <v/>
      </c>
      <c r="B293" s="85" t="str">
        <f>IF(C293="","",VLOOKUP('OPĆI DIO'!$C$3,'OPĆI DIO'!$L$6:$U$138,9,FALSE))</f>
        <v/>
      </c>
      <c r="C293" s="90"/>
      <c r="D293" s="85" t="str">
        <f t="shared" si="43"/>
        <v/>
      </c>
      <c r="E293" s="90"/>
      <c r="F293" s="85" t="str">
        <f t="shared" si="44"/>
        <v/>
      </c>
      <c r="G293" s="123"/>
      <c r="H293" s="85" t="str">
        <f t="shared" si="45"/>
        <v/>
      </c>
      <c r="I293" s="85" t="str">
        <f t="shared" si="46"/>
        <v/>
      </c>
      <c r="J293" s="122"/>
      <c r="K293" s="122"/>
      <c r="L293" s="122"/>
      <c r="M293" s="89"/>
      <c r="O293" t="str">
        <f t="shared" si="47"/>
        <v/>
      </c>
      <c r="P293" t="str">
        <f t="shared" si="48"/>
        <v/>
      </c>
      <c r="Q293" t="str">
        <f t="shared" si="49"/>
        <v/>
      </c>
      <c r="R293" t="str">
        <f t="shared" si="50"/>
        <v/>
      </c>
      <c r="AB293" t="s">
        <v>1962</v>
      </c>
      <c r="AC293" t="s">
        <v>1963</v>
      </c>
      <c r="AD293" t="s">
        <v>5155</v>
      </c>
      <c r="AE293" t="s">
        <v>5156</v>
      </c>
      <c r="AF293" t="s">
        <v>5177</v>
      </c>
      <c r="AG293" t="s">
        <v>5187</v>
      </c>
    </row>
    <row r="294" spans="1:33">
      <c r="A294" s="85" t="str">
        <f>IF(C294="","",VLOOKUP('OPĆI DIO'!$C$3,'OPĆI DIO'!$L$6:$U$138,10,FALSE))</f>
        <v/>
      </c>
      <c r="B294" s="85" t="str">
        <f>IF(C294="","",VLOOKUP('OPĆI DIO'!$C$3,'OPĆI DIO'!$L$6:$U$138,9,FALSE))</f>
        <v/>
      </c>
      <c r="C294" s="90"/>
      <c r="D294" s="85" t="str">
        <f t="shared" si="43"/>
        <v/>
      </c>
      <c r="E294" s="90"/>
      <c r="F294" s="85" t="str">
        <f t="shared" si="44"/>
        <v/>
      </c>
      <c r="G294" s="123"/>
      <c r="H294" s="85" t="str">
        <f t="shared" si="45"/>
        <v/>
      </c>
      <c r="I294" s="85" t="str">
        <f t="shared" si="46"/>
        <v/>
      </c>
      <c r="J294" s="122"/>
      <c r="K294" s="122"/>
      <c r="L294" s="122"/>
      <c r="M294" s="89"/>
      <c r="O294" t="str">
        <f t="shared" si="47"/>
        <v/>
      </c>
      <c r="P294" t="str">
        <f t="shared" si="48"/>
        <v/>
      </c>
      <c r="Q294" t="str">
        <f t="shared" si="49"/>
        <v/>
      </c>
      <c r="R294" t="str">
        <f t="shared" si="50"/>
        <v/>
      </c>
      <c r="AB294" t="s">
        <v>1964</v>
      </c>
      <c r="AC294" t="s">
        <v>1965</v>
      </c>
      <c r="AD294" t="s">
        <v>5155</v>
      </c>
      <c r="AE294" t="s">
        <v>5156</v>
      </c>
      <c r="AF294" t="s">
        <v>5177</v>
      </c>
      <c r="AG294" t="s">
        <v>5187</v>
      </c>
    </row>
    <row r="295" spans="1:33">
      <c r="A295" s="85" t="str">
        <f>IF(C295="","",VLOOKUP('OPĆI DIO'!$C$3,'OPĆI DIO'!$L$6:$U$138,10,FALSE))</f>
        <v/>
      </c>
      <c r="B295" s="85" t="str">
        <f>IF(C295="","",VLOOKUP('OPĆI DIO'!$C$3,'OPĆI DIO'!$L$6:$U$138,9,FALSE))</f>
        <v/>
      </c>
      <c r="C295" s="90"/>
      <c r="D295" s="85" t="str">
        <f t="shared" si="43"/>
        <v/>
      </c>
      <c r="E295" s="90"/>
      <c r="F295" s="85" t="str">
        <f t="shared" si="44"/>
        <v/>
      </c>
      <c r="G295" s="123"/>
      <c r="H295" s="85" t="str">
        <f t="shared" si="45"/>
        <v/>
      </c>
      <c r="I295" s="85" t="str">
        <f t="shared" si="46"/>
        <v/>
      </c>
      <c r="J295" s="122"/>
      <c r="K295" s="122"/>
      <c r="L295" s="122"/>
      <c r="M295" s="89"/>
      <c r="O295" t="str">
        <f t="shared" si="47"/>
        <v/>
      </c>
      <c r="P295" t="str">
        <f t="shared" si="48"/>
        <v/>
      </c>
      <c r="Q295" t="str">
        <f t="shared" si="49"/>
        <v/>
      </c>
      <c r="R295" t="str">
        <f t="shared" si="50"/>
        <v/>
      </c>
      <c r="AB295" t="s">
        <v>1966</v>
      </c>
      <c r="AC295" t="s">
        <v>1967</v>
      </c>
      <c r="AD295" t="s">
        <v>5155</v>
      </c>
      <c r="AE295" t="s">
        <v>5156</v>
      </c>
      <c r="AF295" t="s">
        <v>5177</v>
      </c>
      <c r="AG295" t="s">
        <v>5187</v>
      </c>
    </row>
    <row r="296" spans="1:33">
      <c r="A296" s="85" t="str">
        <f>IF(C296="","",VLOOKUP('OPĆI DIO'!$C$3,'OPĆI DIO'!$L$6:$U$138,10,FALSE))</f>
        <v/>
      </c>
      <c r="B296" s="85" t="str">
        <f>IF(C296="","",VLOOKUP('OPĆI DIO'!$C$3,'OPĆI DIO'!$L$6:$U$138,9,FALSE))</f>
        <v/>
      </c>
      <c r="C296" s="90"/>
      <c r="D296" s="85" t="str">
        <f t="shared" si="43"/>
        <v/>
      </c>
      <c r="E296" s="90"/>
      <c r="F296" s="85" t="str">
        <f t="shared" si="44"/>
        <v/>
      </c>
      <c r="G296" s="123"/>
      <c r="H296" s="85" t="str">
        <f t="shared" si="45"/>
        <v/>
      </c>
      <c r="I296" s="85" t="str">
        <f t="shared" si="46"/>
        <v/>
      </c>
      <c r="J296" s="122"/>
      <c r="K296" s="122"/>
      <c r="L296" s="122"/>
      <c r="M296" s="89"/>
      <c r="O296" t="str">
        <f t="shared" si="47"/>
        <v/>
      </c>
      <c r="P296" t="str">
        <f t="shared" si="48"/>
        <v/>
      </c>
      <c r="Q296" t="str">
        <f t="shared" si="49"/>
        <v/>
      </c>
      <c r="R296" t="str">
        <f t="shared" si="50"/>
        <v/>
      </c>
      <c r="AB296" t="s">
        <v>3515</v>
      </c>
      <c r="AC296" t="s">
        <v>3516</v>
      </c>
      <c r="AD296" t="s">
        <v>5155</v>
      </c>
      <c r="AE296" t="s">
        <v>5156</v>
      </c>
      <c r="AF296" t="s">
        <v>5177</v>
      </c>
      <c r="AG296" t="s">
        <v>5187</v>
      </c>
    </row>
    <row r="297" spans="1:33">
      <c r="A297" s="85" t="str">
        <f>IF(C297="","",VLOOKUP('OPĆI DIO'!$C$3,'OPĆI DIO'!$L$6:$U$138,10,FALSE))</f>
        <v/>
      </c>
      <c r="B297" s="85" t="str">
        <f>IF(C297="","",VLOOKUP('OPĆI DIO'!$C$3,'OPĆI DIO'!$L$6:$U$138,9,FALSE))</f>
        <v/>
      </c>
      <c r="C297" s="90"/>
      <c r="D297" s="85" t="str">
        <f t="shared" si="43"/>
        <v/>
      </c>
      <c r="E297" s="90"/>
      <c r="F297" s="85" t="str">
        <f t="shared" si="44"/>
        <v/>
      </c>
      <c r="G297" s="123"/>
      <c r="H297" s="85" t="str">
        <f t="shared" si="45"/>
        <v/>
      </c>
      <c r="I297" s="85" t="str">
        <f t="shared" si="46"/>
        <v/>
      </c>
      <c r="J297" s="122"/>
      <c r="K297" s="122"/>
      <c r="L297" s="122"/>
      <c r="M297" s="89"/>
      <c r="O297" t="str">
        <f t="shared" si="47"/>
        <v/>
      </c>
      <c r="P297" t="str">
        <f t="shared" si="48"/>
        <v/>
      </c>
      <c r="Q297" t="str">
        <f t="shared" si="49"/>
        <v/>
      </c>
      <c r="R297" t="str">
        <f t="shared" si="50"/>
        <v/>
      </c>
      <c r="AB297" t="s">
        <v>3517</v>
      </c>
      <c r="AC297" t="s">
        <v>3518</v>
      </c>
      <c r="AD297" t="s">
        <v>5155</v>
      </c>
      <c r="AE297" t="s">
        <v>5156</v>
      </c>
      <c r="AF297" t="s">
        <v>5177</v>
      </c>
      <c r="AG297" t="s">
        <v>5187</v>
      </c>
    </row>
    <row r="298" spans="1:33">
      <c r="A298" s="85" t="str">
        <f>IF(C298="","",VLOOKUP('OPĆI DIO'!$C$3,'OPĆI DIO'!$L$6:$U$138,10,FALSE))</f>
        <v/>
      </c>
      <c r="B298" s="85" t="str">
        <f>IF(C298="","",VLOOKUP('OPĆI DIO'!$C$3,'OPĆI DIO'!$L$6:$U$138,9,FALSE))</f>
        <v/>
      </c>
      <c r="C298" s="90"/>
      <c r="D298" s="85" t="str">
        <f t="shared" si="43"/>
        <v/>
      </c>
      <c r="E298" s="90"/>
      <c r="F298" s="85" t="str">
        <f t="shared" si="44"/>
        <v/>
      </c>
      <c r="G298" s="123"/>
      <c r="H298" s="85" t="str">
        <f t="shared" si="45"/>
        <v/>
      </c>
      <c r="I298" s="85" t="str">
        <f t="shared" si="46"/>
        <v/>
      </c>
      <c r="J298" s="122"/>
      <c r="K298" s="122"/>
      <c r="L298" s="122"/>
      <c r="M298" s="89"/>
      <c r="O298" t="str">
        <f t="shared" si="47"/>
        <v/>
      </c>
      <c r="P298" t="str">
        <f t="shared" si="48"/>
        <v/>
      </c>
      <c r="Q298" t="str">
        <f t="shared" si="49"/>
        <v/>
      </c>
      <c r="R298" t="str">
        <f t="shared" si="50"/>
        <v/>
      </c>
      <c r="AB298" t="s">
        <v>1106</v>
      </c>
      <c r="AC298" t="s">
        <v>1107</v>
      </c>
      <c r="AD298" t="s">
        <v>5171</v>
      </c>
      <c r="AE298" t="s">
        <v>5172</v>
      </c>
      <c r="AF298" t="s">
        <v>5177</v>
      </c>
      <c r="AG298" t="s">
        <v>5189</v>
      </c>
    </row>
    <row r="299" spans="1:33">
      <c r="A299" s="85" t="str">
        <f>IF(C299="","",VLOOKUP('OPĆI DIO'!$C$3,'OPĆI DIO'!$L$6:$U$138,10,FALSE))</f>
        <v/>
      </c>
      <c r="B299" s="85" t="str">
        <f>IF(C299="","",VLOOKUP('OPĆI DIO'!$C$3,'OPĆI DIO'!$L$6:$U$138,9,FALSE))</f>
        <v/>
      </c>
      <c r="C299" s="90"/>
      <c r="D299" s="85" t="str">
        <f t="shared" si="43"/>
        <v/>
      </c>
      <c r="E299" s="90"/>
      <c r="F299" s="85" t="str">
        <f t="shared" si="44"/>
        <v/>
      </c>
      <c r="G299" s="123"/>
      <c r="H299" s="85" t="str">
        <f t="shared" si="45"/>
        <v/>
      </c>
      <c r="I299" s="85" t="str">
        <f t="shared" si="46"/>
        <v/>
      </c>
      <c r="J299" s="122"/>
      <c r="K299" s="122"/>
      <c r="L299" s="122"/>
      <c r="M299" s="89"/>
      <c r="O299" t="str">
        <f t="shared" si="47"/>
        <v/>
      </c>
      <c r="P299" t="str">
        <f t="shared" si="48"/>
        <v/>
      </c>
      <c r="Q299" t="str">
        <f t="shared" si="49"/>
        <v/>
      </c>
      <c r="R299" t="str">
        <f t="shared" si="50"/>
        <v/>
      </c>
      <c r="AB299" t="s">
        <v>1106</v>
      </c>
      <c r="AC299" t="s">
        <v>1107</v>
      </c>
      <c r="AD299" t="s">
        <v>5155</v>
      </c>
      <c r="AE299" t="s">
        <v>5156</v>
      </c>
      <c r="AF299" t="s">
        <v>5177</v>
      </c>
      <c r="AG299" t="s">
        <v>5187</v>
      </c>
    </row>
    <row r="300" spans="1:33">
      <c r="A300" s="85" t="str">
        <f>IF(C300="","",VLOOKUP('OPĆI DIO'!$C$3,'OPĆI DIO'!$L$6:$U$138,10,FALSE))</f>
        <v/>
      </c>
      <c r="B300" s="85" t="str">
        <f>IF(C300="","",VLOOKUP('OPĆI DIO'!$C$3,'OPĆI DIO'!$L$6:$U$138,9,FALSE))</f>
        <v/>
      </c>
      <c r="C300" s="90"/>
      <c r="D300" s="85" t="str">
        <f t="shared" si="43"/>
        <v/>
      </c>
      <c r="E300" s="90"/>
      <c r="F300" s="85" t="str">
        <f t="shared" si="44"/>
        <v/>
      </c>
      <c r="G300" s="123"/>
      <c r="H300" s="85" t="str">
        <f t="shared" si="45"/>
        <v/>
      </c>
      <c r="I300" s="85" t="str">
        <f t="shared" si="46"/>
        <v/>
      </c>
      <c r="J300" s="122"/>
      <c r="K300" s="122"/>
      <c r="L300" s="122"/>
      <c r="M300" s="89"/>
      <c r="O300" t="str">
        <f t="shared" si="47"/>
        <v/>
      </c>
      <c r="P300" t="str">
        <f t="shared" si="48"/>
        <v/>
      </c>
      <c r="Q300" t="str">
        <f t="shared" si="49"/>
        <v/>
      </c>
      <c r="R300" t="str">
        <f t="shared" si="50"/>
        <v/>
      </c>
      <c r="AB300" t="s">
        <v>1108</v>
      </c>
      <c r="AC300" t="s">
        <v>1109</v>
      </c>
      <c r="AD300" t="s">
        <v>5155</v>
      </c>
      <c r="AE300" t="s">
        <v>5156</v>
      </c>
      <c r="AF300" t="s">
        <v>5177</v>
      </c>
      <c r="AG300" t="s">
        <v>5187</v>
      </c>
    </row>
    <row r="301" spans="1:33">
      <c r="A301" s="85" t="str">
        <f>IF(C301="","",VLOOKUP('OPĆI DIO'!$C$3,'OPĆI DIO'!$L$6:$U$138,10,FALSE))</f>
        <v/>
      </c>
      <c r="B301" s="85" t="str">
        <f>IF(C301="","",VLOOKUP('OPĆI DIO'!$C$3,'OPĆI DIO'!$L$6:$U$138,9,FALSE))</f>
        <v/>
      </c>
      <c r="C301" s="90"/>
      <c r="D301" s="85" t="str">
        <f t="shared" si="43"/>
        <v/>
      </c>
      <c r="E301" s="90"/>
      <c r="F301" s="85" t="str">
        <f t="shared" si="44"/>
        <v/>
      </c>
      <c r="G301" s="123"/>
      <c r="H301" s="85" t="str">
        <f t="shared" si="45"/>
        <v/>
      </c>
      <c r="I301" s="85" t="str">
        <f t="shared" si="46"/>
        <v/>
      </c>
      <c r="J301" s="122"/>
      <c r="K301" s="122"/>
      <c r="L301" s="122"/>
      <c r="M301" s="89"/>
      <c r="O301" t="str">
        <f t="shared" si="47"/>
        <v/>
      </c>
      <c r="P301" t="str">
        <f t="shared" si="48"/>
        <v/>
      </c>
      <c r="Q301" t="str">
        <f t="shared" si="49"/>
        <v/>
      </c>
      <c r="R301" t="str">
        <f t="shared" si="50"/>
        <v/>
      </c>
      <c r="AB301" t="s">
        <v>1110</v>
      </c>
      <c r="AC301" t="s">
        <v>1111</v>
      </c>
      <c r="AD301" t="s">
        <v>5155</v>
      </c>
      <c r="AE301" t="s">
        <v>5156</v>
      </c>
      <c r="AF301" t="s">
        <v>5177</v>
      </c>
      <c r="AG301" t="s">
        <v>5187</v>
      </c>
    </row>
    <row r="302" spans="1:33">
      <c r="A302" s="85" t="str">
        <f>IF(C302="","",VLOOKUP('OPĆI DIO'!$C$3,'OPĆI DIO'!$L$6:$U$138,10,FALSE))</f>
        <v/>
      </c>
      <c r="B302" s="85" t="str">
        <f>IF(C302="","",VLOOKUP('OPĆI DIO'!$C$3,'OPĆI DIO'!$L$6:$U$138,9,FALSE))</f>
        <v/>
      </c>
      <c r="C302" s="90"/>
      <c r="D302" s="85" t="str">
        <f t="shared" si="43"/>
        <v/>
      </c>
      <c r="E302" s="90"/>
      <c r="F302" s="85" t="str">
        <f t="shared" si="44"/>
        <v/>
      </c>
      <c r="G302" s="123"/>
      <c r="H302" s="85" t="str">
        <f t="shared" si="45"/>
        <v/>
      </c>
      <c r="I302" s="85" t="str">
        <f t="shared" si="46"/>
        <v/>
      </c>
      <c r="J302" s="122"/>
      <c r="K302" s="122"/>
      <c r="L302" s="122"/>
      <c r="M302" s="89"/>
      <c r="O302" t="str">
        <f t="shared" si="47"/>
        <v/>
      </c>
      <c r="P302" t="str">
        <f t="shared" si="48"/>
        <v/>
      </c>
      <c r="Q302" t="str">
        <f t="shared" si="49"/>
        <v/>
      </c>
      <c r="R302" t="str">
        <f t="shared" si="50"/>
        <v/>
      </c>
      <c r="AB302" t="s">
        <v>1112</v>
      </c>
      <c r="AC302" t="s">
        <v>1113</v>
      </c>
      <c r="AD302" t="s">
        <v>5155</v>
      </c>
      <c r="AE302" t="s">
        <v>5156</v>
      </c>
      <c r="AF302" t="s">
        <v>5177</v>
      </c>
      <c r="AG302" t="s">
        <v>5187</v>
      </c>
    </row>
    <row r="303" spans="1:33">
      <c r="A303" s="85" t="str">
        <f>IF(C303="","",VLOOKUP('OPĆI DIO'!$C$3,'OPĆI DIO'!$L$6:$U$138,10,FALSE))</f>
        <v/>
      </c>
      <c r="B303" s="85" t="str">
        <f>IF(C303="","",VLOOKUP('OPĆI DIO'!$C$3,'OPĆI DIO'!$L$6:$U$138,9,FALSE))</f>
        <v/>
      </c>
      <c r="C303" s="90"/>
      <c r="D303" s="85" t="str">
        <f t="shared" si="43"/>
        <v/>
      </c>
      <c r="E303" s="90"/>
      <c r="F303" s="85" t="str">
        <f t="shared" si="44"/>
        <v/>
      </c>
      <c r="G303" s="123"/>
      <c r="H303" s="85" t="str">
        <f t="shared" si="45"/>
        <v/>
      </c>
      <c r="I303" s="85" t="str">
        <f t="shared" si="46"/>
        <v/>
      </c>
      <c r="J303" s="122"/>
      <c r="K303" s="122"/>
      <c r="L303" s="122"/>
      <c r="M303" s="89"/>
      <c r="O303" t="str">
        <f t="shared" si="47"/>
        <v/>
      </c>
      <c r="P303" t="str">
        <f t="shared" si="48"/>
        <v/>
      </c>
      <c r="Q303" t="str">
        <f t="shared" si="49"/>
        <v/>
      </c>
      <c r="R303" t="str">
        <f t="shared" si="50"/>
        <v/>
      </c>
      <c r="AB303" t="s">
        <v>1114</v>
      </c>
      <c r="AC303" t="s">
        <v>1115</v>
      </c>
      <c r="AD303" t="s">
        <v>5155</v>
      </c>
      <c r="AE303" t="s">
        <v>5156</v>
      </c>
      <c r="AF303" t="s">
        <v>5177</v>
      </c>
      <c r="AG303" t="s">
        <v>5187</v>
      </c>
    </row>
    <row r="304" spans="1:33">
      <c r="A304" s="85" t="str">
        <f>IF(C304="","",VLOOKUP('OPĆI DIO'!$C$3,'OPĆI DIO'!$L$6:$U$138,10,FALSE))</f>
        <v/>
      </c>
      <c r="B304" s="85" t="str">
        <f>IF(C304="","",VLOOKUP('OPĆI DIO'!$C$3,'OPĆI DIO'!$L$6:$U$138,9,FALSE))</f>
        <v/>
      </c>
      <c r="C304" s="90"/>
      <c r="D304" s="85" t="str">
        <f t="shared" si="43"/>
        <v/>
      </c>
      <c r="E304" s="90"/>
      <c r="F304" s="85" t="str">
        <f t="shared" si="44"/>
        <v/>
      </c>
      <c r="G304" s="123"/>
      <c r="H304" s="85" t="str">
        <f t="shared" si="45"/>
        <v/>
      </c>
      <c r="I304" s="85" t="str">
        <f t="shared" si="46"/>
        <v/>
      </c>
      <c r="J304" s="122"/>
      <c r="K304" s="122"/>
      <c r="L304" s="122"/>
      <c r="M304" s="89"/>
      <c r="O304" t="str">
        <f t="shared" si="47"/>
        <v/>
      </c>
      <c r="P304" t="str">
        <f t="shared" si="48"/>
        <v/>
      </c>
      <c r="Q304" t="str">
        <f t="shared" si="49"/>
        <v/>
      </c>
      <c r="R304" t="str">
        <f t="shared" si="50"/>
        <v/>
      </c>
      <c r="AB304" t="s">
        <v>1116</v>
      </c>
      <c r="AC304" t="s">
        <v>1117</v>
      </c>
      <c r="AD304" t="s">
        <v>5155</v>
      </c>
      <c r="AE304" t="s">
        <v>5156</v>
      </c>
      <c r="AF304" t="s">
        <v>5177</v>
      </c>
      <c r="AG304" t="s">
        <v>5187</v>
      </c>
    </row>
    <row r="305" spans="1:33">
      <c r="A305" s="85" t="str">
        <f>IF(C305="","",VLOOKUP('OPĆI DIO'!$C$3,'OPĆI DIO'!$L$6:$U$138,10,FALSE))</f>
        <v/>
      </c>
      <c r="B305" s="85" t="str">
        <f>IF(C305="","",VLOOKUP('OPĆI DIO'!$C$3,'OPĆI DIO'!$L$6:$U$138,9,FALSE))</f>
        <v/>
      </c>
      <c r="C305" s="90"/>
      <c r="D305" s="85" t="str">
        <f t="shared" si="43"/>
        <v/>
      </c>
      <c r="E305" s="90"/>
      <c r="F305" s="85" t="str">
        <f t="shared" si="44"/>
        <v/>
      </c>
      <c r="G305" s="123"/>
      <c r="H305" s="85" t="str">
        <f t="shared" si="45"/>
        <v/>
      </c>
      <c r="I305" s="85" t="str">
        <f t="shared" si="46"/>
        <v/>
      </c>
      <c r="J305" s="122"/>
      <c r="K305" s="122"/>
      <c r="L305" s="122"/>
      <c r="M305" s="89"/>
      <c r="O305" t="str">
        <f t="shared" si="47"/>
        <v/>
      </c>
      <c r="P305" t="str">
        <f t="shared" si="48"/>
        <v/>
      </c>
      <c r="Q305" t="str">
        <f t="shared" si="49"/>
        <v/>
      </c>
      <c r="R305" t="str">
        <f t="shared" si="50"/>
        <v/>
      </c>
      <c r="AB305" t="s">
        <v>1118</v>
      </c>
      <c r="AC305" t="s">
        <v>1119</v>
      </c>
      <c r="AD305" t="s">
        <v>5155</v>
      </c>
      <c r="AE305" t="s">
        <v>5156</v>
      </c>
      <c r="AF305" t="s">
        <v>5177</v>
      </c>
      <c r="AG305" t="s">
        <v>5187</v>
      </c>
    </row>
    <row r="306" spans="1:33">
      <c r="A306" s="85" t="str">
        <f>IF(C306="","",VLOOKUP('OPĆI DIO'!$C$3,'OPĆI DIO'!$L$6:$U$138,10,FALSE))</f>
        <v/>
      </c>
      <c r="B306" s="85" t="str">
        <f>IF(C306="","",VLOOKUP('OPĆI DIO'!$C$3,'OPĆI DIO'!$L$6:$U$138,9,FALSE))</f>
        <v/>
      </c>
      <c r="C306" s="90"/>
      <c r="D306" s="85" t="str">
        <f t="shared" si="43"/>
        <v/>
      </c>
      <c r="E306" s="90"/>
      <c r="F306" s="85" t="str">
        <f t="shared" si="44"/>
        <v/>
      </c>
      <c r="G306" s="123"/>
      <c r="H306" s="85" t="str">
        <f t="shared" si="45"/>
        <v/>
      </c>
      <c r="I306" s="85" t="str">
        <f t="shared" si="46"/>
        <v/>
      </c>
      <c r="J306" s="122"/>
      <c r="K306" s="122"/>
      <c r="L306" s="122"/>
      <c r="M306" s="89"/>
      <c r="O306" t="str">
        <f t="shared" si="47"/>
        <v/>
      </c>
      <c r="P306" t="str">
        <f t="shared" si="48"/>
        <v/>
      </c>
      <c r="Q306" t="str">
        <f t="shared" si="49"/>
        <v/>
      </c>
      <c r="R306" t="str">
        <f t="shared" si="50"/>
        <v/>
      </c>
      <c r="AB306" t="s">
        <v>1120</v>
      </c>
      <c r="AC306" t="s">
        <v>1121</v>
      </c>
      <c r="AD306" t="s">
        <v>5155</v>
      </c>
      <c r="AE306" t="s">
        <v>5156</v>
      </c>
      <c r="AF306" t="s">
        <v>5177</v>
      </c>
      <c r="AG306" t="s">
        <v>5187</v>
      </c>
    </row>
    <row r="307" spans="1:33">
      <c r="A307" s="85" t="str">
        <f>IF(C307="","",VLOOKUP('OPĆI DIO'!$C$3,'OPĆI DIO'!$L$6:$U$138,10,FALSE))</f>
        <v/>
      </c>
      <c r="B307" s="85" t="str">
        <f>IF(C307="","",VLOOKUP('OPĆI DIO'!$C$3,'OPĆI DIO'!$L$6:$U$138,9,FALSE))</f>
        <v/>
      </c>
      <c r="C307" s="90"/>
      <c r="D307" s="85" t="str">
        <f t="shared" si="43"/>
        <v/>
      </c>
      <c r="E307" s="90"/>
      <c r="F307" s="85" t="str">
        <f t="shared" si="44"/>
        <v/>
      </c>
      <c r="G307" s="123"/>
      <c r="H307" s="85" t="str">
        <f t="shared" si="45"/>
        <v/>
      </c>
      <c r="I307" s="85" t="str">
        <f t="shared" si="46"/>
        <v/>
      </c>
      <c r="J307" s="122"/>
      <c r="K307" s="122"/>
      <c r="L307" s="122"/>
      <c r="M307" s="89"/>
      <c r="O307" t="str">
        <f t="shared" si="47"/>
        <v/>
      </c>
      <c r="P307" t="str">
        <f t="shared" si="48"/>
        <v/>
      </c>
      <c r="Q307" t="str">
        <f t="shared" si="49"/>
        <v/>
      </c>
      <c r="R307" t="str">
        <f t="shared" si="50"/>
        <v/>
      </c>
      <c r="AB307" t="s">
        <v>1122</v>
      </c>
      <c r="AC307" t="s">
        <v>1123</v>
      </c>
      <c r="AD307" t="s">
        <v>5171</v>
      </c>
      <c r="AE307" t="s">
        <v>5172</v>
      </c>
      <c r="AF307" t="s">
        <v>5177</v>
      </c>
      <c r="AG307" t="s">
        <v>5189</v>
      </c>
    </row>
    <row r="308" spans="1:33">
      <c r="A308" s="85" t="str">
        <f>IF(C308="","",VLOOKUP('OPĆI DIO'!$C$3,'OPĆI DIO'!$L$6:$U$138,10,FALSE))</f>
        <v/>
      </c>
      <c r="B308" s="85" t="str">
        <f>IF(C308="","",VLOOKUP('OPĆI DIO'!$C$3,'OPĆI DIO'!$L$6:$U$138,9,FALSE))</f>
        <v/>
      </c>
      <c r="C308" s="90"/>
      <c r="D308" s="85" t="str">
        <f t="shared" si="43"/>
        <v/>
      </c>
      <c r="E308" s="90"/>
      <c r="F308" s="85" t="str">
        <f t="shared" si="44"/>
        <v/>
      </c>
      <c r="G308" s="123"/>
      <c r="H308" s="85" t="str">
        <f t="shared" si="45"/>
        <v/>
      </c>
      <c r="I308" s="85" t="str">
        <f t="shared" si="46"/>
        <v/>
      </c>
      <c r="J308" s="122"/>
      <c r="K308" s="122"/>
      <c r="L308" s="122"/>
      <c r="M308" s="89"/>
      <c r="O308" t="str">
        <f t="shared" si="47"/>
        <v/>
      </c>
      <c r="P308" t="str">
        <f t="shared" si="48"/>
        <v/>
      </c>
      <c r="Q308" t="str">
        <f t="shared" si="49"/>
        <v/>
      </c>
      <c r="R308" t="str">
        <f t="shared" si="50"/>
        <v/>
      </c>
      <c r="AB308" t="s">
        <v>1122</v>
      </c>
      <c r="AC308" t="s">
        <v>1123</v>
      </c>
      <c r="AD308" t="s">
        <v>5155</v>
      </c>
      <c r="AE308" t="s">
        <v>5156</v>
      </c>
      <c r="AF308" t="s">
        <v>5177</v>
      </c>
      <c r="AG308" t="s">
        <v>5187</v>
      </c>
    </row>
    <row r="309" spans="1:33">
      <c r="A309" s="85" t="str">
        <f>IF(C309="","",VLOOKUP('OPĆI DIO'!$C$3,'OPĆI DIO'!$L$6:$U$138,10,FALSE))</f>
        <v/>
      </c>
      <c r="B309" s="85" t="str">
        <f>IF(C309="","",VLOOKUP('OPĆI DIO'!$C$3,'OPĆI DIO'!$L$6:$U$138,9,FALSE))</f>
        <v/>
      </c>
      <c r="C309" s="90"/>
      <c r="D309" s="85" t="str">
        <f t="shared" si="43"/>
        <v/>
      </c>
      <c r="E309" s="90"/>
      <c r="F309" s="85" t="str">
        <f t="shared" si="44"/>
        <v/>
      </c>
      <c r="G309" s="123"/>
      <c r="H309" s="85" t="str">
        <f t="shared" si="45"/>
        <v/>
      </c>
      <c r="I309" s="85" t="str">
        <f t="shared" si="46"/>
        <v/>
      </c>
      <c r="J309" s="122"/>
      <c r="K309" s="122"/>
      <c r="L309" s="122"/>
      <c r="M309" s="89"/>
      <c r="O309" t="str">
        <f t="shared" si="47"/>
        <v/>
      </c>
      <c r="P309" t="str">
        <f t="shared" si="48"/>
        <v/>
      </c>
      <c r="Q309" t="str">
        <f t="shared" si="49"/>
        <v/>
      </c>
      <c r="R309" t="str">
        <f t="shared" si="50"/>
        <v/>
      </c>
      <c r="AB309" t="s">
        <v>1124</v>
      </c>
      <c r="AC309" t="s">
        <v>1125</v>
      </c>
      <c r="AD309" t="s">
        <v>5155</v>
      </c>
      <c r="AE309" t="s">
        <v>5156</v>
      </c>
      <c r="AF309" t="s">
        <v>5177</v>
      </c>
      <c r="AG309" t="s">
        <v>5187</v>
      </c>
    </row>
    <row r="310" spans="1:33">
      <c r="A310" s="85" t="str">
        <f>IF(C310="","",VLOOKUP('OPĆI DIO'!$C$3,'OPĆI DIO'!$L$6:$U$138,10,FALSE))</f>
        <v/>
      </c>
      <c r="B310" s="85" t="str">
        <f>IF(C310="","",VLOOKUP('OPĆI DIO'!$C$3,'OPĆI DIO'!$L$6:$U$138,9,FALSE))</f>
        <v/>
      </c>
      <c r="C310" s="90"/>
      <c r="D310" s="85" t="str">
        <f t="shared" si="43"/>
        <v/>
      </c>
      <c r="E310" s="90"/>
      <c r="F310" s="85" t="str">
        <f t="shared" si="44"/>
        <v/>
      </c>
      <c r="G310" s="123"/>
      <c r="H310" s="85" t="str">
        <f t="shared" si="45"/>
        <v/>
      </c>
      <c r="I310" s="85" t="str">
        <f t="shared" si="46"/>
        <v/>
      </c>
      <c r="J310" s="122"/>
      <c r="K310" s="122"/>
      <c r="L310" s="122"/>
      <c r="M310" s="89"/>
      <c r="O310" t="str">
        <f t="shared" si="47"/>
        <v/>
      </c>
      <c r="P310" t="str">
        <f t="shared" si="48"/>
        <v/>
      </c>
      <c r="Q310" t="str">
        <f t="shared" si="49"/>
        <v/>
      </c>
      <c r="R310" t="str">
        <f t="shared" si="50"/>
        <v/>
      </c>
      <c r="AB310" t="s">
        <v>1126</v>
      </c>
      <c r="AC310" t="s">
        <v>1127</v>
      </c>
      <c r="AD310" t="s">
        <v>5155</v>
      </c>
      <c r="AE310" t="s">
        <v>5156</v>
      </c>
      <c r="AF310" t="s">
        <v>5177</v>
      </c>
      <c r="AG310" t="s">
        <v>5187</v>
      </c>
    </row>
    <row r="311" spans="1:33">
      <c r="A311" s="85" t="str">
        <f>IF(C311="","",VLOOKUP('OPĆI DIO'!$C$3,'OPĆI DIO'!$L$6:$U$138,10,FALSE))</f>
        <v/>
      </c>
      <c r="B311" s="85" t="str">
        <f>IF(C311="","",VLOOKUP('OPĆI DIO'!$C$3,'OPĆI DIO'!$L$6:$U$138,9,FALSE))</f>
        <v/>
      </c>
      <c r="C311" s="90"/>
      <c r="D311" s="85" t="str">
        <f t="shared" si="43"/>
        <v/>
      </c>
      <c r="E311" s="90"/>
      <c r="F311" s="85" t="str">
        <f t="shared" si="44"/>
        <v/>
      </c>
      <c r="G311" s="123"/>
      <c r="H311" s="85" t="str">
        <f t="shared" si="45"/>
        <v/>
      </c>
      <c r="I311" s="85" t="str">
        <f t="shared" si="46"/>
        <v/>
      </c>
      <c r="J311" s="122"/>
      <c r="K311" s="122"/>
      <c r="L311" s="122"/>
      <c r="M311" s="89"/>
      <c r="O311" t="str">
        <f t="shared" si="47"/>
        <v/>
      </c>
      <c r="P311" t="str">
        <f t="shared" si="48"/>
        <v/>
      </c>
      <c r="Q311" t="str">
        <f t="shared" si="49"/>
        <v/>
      </c>
      <c r="R311" t="str">
        <f t="shared" si="50"/>
        <v/>
      </c>
      <c r="AB311" t="s">
        <v>1968</v>
      </c>
      <c r="AC311" t="s">
        <v>1969</v>
      </c>
      <c r="AD311" t="s">
        <v>5155</v>
      </c>
      <c r="AE311" t="s">
        <v>5156</v>
      </c>
      <c r="AF311" t="s">
        <v>5177</v>
      </c>
      <c r="AG311" t="s">
        <v>5187</v>
      </c>
    </row>
    <row r="312" spans="1:33">
      <c r="A312" s="85" t="str">
        <f>IF(C312="","",VLOOKUP('OPĆI DIO'!$C$3,'OPĆI DIO'!$L$6:$U$138,10,FALSE))</f>
        <v/>
      </c>
      <c r="B312" s="85" t="str">
        <f>IF(C312="","",VLOOKUP('OPĆI DIO'!$C$3,'OPĆI DIO'!$L$6:$U$138,9,FALSE))</f>
        <v/>
      </c>
      <c r="C312" s="90"/>
      <c r="D312" s="85" t="str">
        <f t="shared" si="43"/>
        <v/>
      </c>
      <c r="E312" s="90"/>
      <c r="F312" s="85" t="str">
        <f t="shared" si="44"/>
        <v/>
      </c>
      <c r="G312" s="123"/>
      <c r="H312" s="85" t="str">
        <f t="shared" si="45"/>
        <v/>
      </c>
      <c r="I312" s="85" t="str">
        <f t="shared" si="46"/>
        <v/>
      </c>
      <c r="J312" s="122"/>
      <c r="K312" s="122"/>
      <c r="L312" s="122"/>
      <c r="M312" s="89"/>
      <c r="O312" t="str">
        <f t="shared" si="47"/>
        <v/>
      </c>
      <c r="P312" t="str">
        <f t="shared" si="48"/>
        <v/>
      </c>
      <c r="Q312" t="str">
        <f t="shared" si="49"/>
        <v/>
      </c>
      <c r="R312" t="str">
        <f t="shared" si="50"/>
        <v/>
      </c>
      <c r="AB312" t="s">
        <v>1970</v>
      </c>
      <c r="AC312" t="s">
        <v>1971</v>
      </c>
      <c r="AD312" t="s">
        <v>5155</v>
      </c>
      <c r="AE312" t="s">
        <v>5156</v>
      </c>
      <c r="AF312" t="s">
        <v>5177</v>
      </c>
      <c r="AG312" t="s">
        <v>5187</v>
      </c>
    </row>
    <row r="313" spans="1:33">
      <c r="A313" s="85" t="str">
        <f>IF(C313="","",VLOOKUP('OPĆI DIO'!$C$3,'OPĆI DIO'!$L$6:$U$138,10,FALSE))</f>
        <v/>
      </c>
      <c r="B313" s="85" t="str">
        <f>IF(C313="","",VLOOKUP('OPĆI DIO'!$C$3,'OPĆI DIO'!$L$6:$U$138,9,FALSE))</f>
        <v/>
      </c>
      <c r="C313" s="90"/>
      <c r="D313" s="85" t="str">
        <f t="shared" si="43"/>
        <v/>
      </c>
      <c r="E313" s="90"/>
      <c r="F313" s="85" t="str">
        <f t="shared" si="44"/>
        <v/>
      </c>
      <c r="G313" s="123"/>
      <c r="H313" s="85" t="str">
        <f t="shared" si="45"/>
        <v/>
      </c>
      <c r="I313" s="85" t="str">
        <f t="shared" si="46"/>
        <v/>
      </c>
      <c r="J313" s="122"/>
      <c r="K313" s="122"/>
      <c r="L313" s="122"/>
      <c r="M313" s="89"/>
      <c r="O313" t="str">
        <f t="shared" si="47"/>
        <v/>
      </c>
      <c r="P313" t="str">
        <f t="shared" si="48"/>
        <v/>
      </c>
      <c r="Q313" t="str">
        <f t="shared" si="49"/>
        <v/>
      </c>
      <c r="R313" t="str">
        <f t="shared" si="50"/>
        <v/>
      </c>
      <c r="AB313" t="s">
        <v>1972</v>
      </c>
      <c r="AC313" t="s">
        <v>1973</v>
      </c>
      <c r="AD313" t="s">
        <v>5155</v>
      </c>
      <c r="AE313" t="s">
        <v>5156</v>
      </c>
      <c r="AF313" t="s">
        <v>5177</v>
      </c>
      <c r="AG313" t="s">
        <v>5187</v>
      </c>
    </row>
    <row r="314" spans="1:33">
      <c r="A314" s="85" t="str">
        <f>IF(C314="","",VLOOKUP('OPĆI DIO'!$C$3,'OPĆI DIO'!$L$6:$U$138,10,FALSE))</f>
        <v/>
      </c>
      <c r="B314" s="85" t="str">
        <f>IF(C314="","",VLOOKUP('OPĆI DIO'!$C$3,'OPĆI DIO'!$L$6:$U$138,9,FALSE))</f>
        <v/>
      </c>
      <c r="C314" s="90"/>
      <c r="D314" s="85" t="str">
        <f t="shared" si="43"/>
        <v/>
      </c>
      <c r="E314" s="90"/>
      <c r="F314" s="85" t="str">
        <f t="shared" si="44"/>
        <v/>
      </c>
      <c r="G314" s="123"/>
      <c r="H314" s="85" t="str">
        <f t="shared" si="45"/>
        <v/>
      </c>
      <c r="I314" s="85" t="str">
        <f t="shared" si="46"/>
        <v/>
      </c>
      <c r="J314" s="122"/>
      <c r="K314" s="122"/>
      <c r="L314" s="122"/>
      <c r="M314" s="89"/>
      <c r="O314" t="str">
        <f t="shared" si="47"/>
        <v/>
      </c>
      <c r="P314" t="str">
        <f t="shared" si="48"/>
        <v/>
      </c>
      <c r="Q314" t="str">
        <f t="shared" si="49"/>
        <v/>
      </c>
      <c r="R314" t="str">
        <f t="shared" si="50"/>
        <v/>
      </c>
      <c r="AB314" t="s">
        <v>3519</v>
      </c>
      <c r="AC314" t="s">
        <v>3520</v>
      </c>
      <c r="AD314" t="s">
        <v>5155</v>
      </c>
      <c r="AE314" t="s">
        <v>5156</v>
      </c>
      <c r="AF314" t="s">
        <v>5177</v>
      </c>
      <c r="AG314" t="s">
        <v>5187</v>
      </c>
    </row>
    <row r="315" spans="1:33">
      <c r="A315" s="85" t="str">
        <f>IF(C315="","",VLOOKUP('OPĆI DIO'!$C$3,'OPĆI DIO'!$L$6:$U$138,10,FALSE))</f>
        <v/>
      </c>
      <c r="B315" s="85" t="str">
        <f>IF(C315="","",VLOOKUP('OPĆI DIO'!$C$3,'OPĆI DIO'!$L$6:$U$138,9,FALSE))</f>
        <v/>
      </c>
      <c r="C315" s="90"/>
      <c r="D315" s="85" t="str">
        <f t="shared" si="43"/>
        <v/>
      </c>
      <c r="E315" s="90"/>
      <c r="F315" s="85" t="str">
        <f t="shared" si="44"/>
        <v/>
      </c>
      <c r="G315" s="123"/>
      <c r="H315" s="85" t="str">
        <f t="shared" si="45"/>
        <v/>
      </c>
      <c r="I315" s="85" t="str">
        <f t="shared" si="46"/>
        <v/>
      </c>
      <c r="J315" s="122"/>
      <c r="K315" s="122"/>
      <c r="L315" s="122"/>
      <c r="M315" s="89"/>
      <c r="O315" t="str">
        <f t="shared" si="47"/>
        <v/>
      </c>
      <c r="P315" t="str">
        <f t="shared" si="48"/>
        <v/>
      </c>
      <c r="Q315" t="str">
        <f t="shared" si="49"/>
        <v/>
      </c>
      <c r="R315" t="str">
        <f t="shared" si="50"/>
        <v/>
      </c>
      <c r="AB315" t="s">
        <v>1128</v>
      </c>
      <c r="AC315" t="s">
        <v>685</v>
      </c>
      <c r="AD315" t="s">
        <v>5171</v>
      </c>
      <c r="AE315" t="s">
        <v>5172</v>
      </c>
      <c r="AF315" t="s">
        <v>5177</v>
      </c>
      <c r="AG315" t="s">
        <v>5189</v>
      </c>
    </row>
    <row r="316" spans="1:33">
      <c r="A316" s="85" t="str">
        <f>IF(C316="","",VLOOKUP('OPĆI DIO'!$C$3,'OPĆI DIO'!$L$6:$U$138,10,FALSE))</f>
        <v/>
      </c>
      <c r="B316" s="85" t="str">
        <f>IF(C316="","",VLOOKUP('OPĆI DIO'!$C$3,'OPĆI DIO'!$L$6:$U$138,9,FALSE))</f>
        <v/>
      </c>
      <c r="C316" s="90"/>
      <c r="D316" s="85" t="str">
        <f t="shared" si="43"/>
        <v/>
      </c>
      <c r="E316" s="90"/>
      <c r="F316" s="85" t="str">
        <f t="shared" si="44"/>
        <v/>
      </c>
      <c r="G316" s="123"/>
      <c r="H316" s="85" t="str">
        <f t="shared" si="45"/>
        <v/>
      </c>
      <c r="I316" s="85" t="str">
        <f t="shared" si="46"/>
        <v/>
      </c>
      <c r="J316" s="122"/>
      <c r="K316" s="122"/>
      <c r="L316" s="122"/>
      <c r="M316" s="89"/>
      <c r="O316" t="str">
        <f t="shared" si="47"/>
        <v/>
      </c>
      <c r="P316" t="str">
        <f t="shared" si="48"/>
        <v/>
      </c>
      <c r="Q316" t="str">
        <f t="shared" si="49"/>
        <v/>
      </c>
      <c r="R316" t="str">
        <f t="shared" si="50"/>
        <v/>
      </c>
      <c r="AB316" t="s">
        <v>1129</v>
      </c>
      <c r="AC316" t="s">
        <v>1130</v>
      </c>
      <c r="AD316" t="s">
        <v>5171</v>
      </c>
      <c r="AE316" t="s">
        <v>5172</v>
      </c>
      <c r="AF316" t="s">
        <v>5177</v>
      </c>
      <c r="AG316" t="s">
        <v>5189</v>
      </c>
    </row>
    <row r="317" spans="1:33">
      <c r="A317" s="85" t="str">
        <f>IF(C317="","",VLOOKUP('OPĆI DIO'!$C$3,'OPĆI DIO'!$L$6:$U$138,10,FALSE))</f>
        <v/>
      </c>
      <c r="B317" s="85" t="str">
        <f>IF(C317="","",VLOOKUP('OPĆI DIO'!$C$3,'OPĆI DIO'!$L$6:$U$138,9,FALSE))</f>
        <v/>
      </c>
      <c r="C317" s="90"/>
      <c r="D317" s="85" t="str">
        <f t="shared" si="43"/>
        <v/>
      </c>
      <c r="E317" s="90"/>
      <c r="F317" s="85" t="str">
        <f t="shared" si="44"/>
        <v/>
      </c>
      <c r="G317" s="123"/>
      <c r="H317" s="85" t="str">
        <f t="shared" si="45"/>
        <v/>
      </c>
      <c r="I317" s="85" t="str">
        <f t="shared" si="46"/>
        <v/>
      </c>
      <c r="J317" s="122"/>
      <c r="K317" s="122"/>
      <c r="L317" s="122"/>
      <c r="M317" s="89"/>
      <c r="O317" t="str">
        <f t="shared" si="47"/>
        <v/>
      </c>
      <c r="P317" t="str">
        <f t="shared" si="48"/>
        <v/>
      </c>
      <c r="Q317" t="str">
        <f t="shared" si="49"/>
        <v/>
      </c>
      <c r="R317" t="str">
        <f t="shared" si="50"/>
        <v/>
      </c>
      <c r="AB317" t="s">
        <v>1796</v>
      </c>
      <c r="AC317" t="s">
        <v>1797</v>
      </c>
      <c r="AD317" t="s">
        <v>5153</v>
      </c>
      <c r="AE317" t="s">
        <v>5154</v>
      </c>
      <c r="AF317" t="s">
        <v>5179</v>
      </c>
      <c r="AG317" t="s">
        <v>5180</v>
      </c>
    </row>
    <row r="318" spans="1:33">
      <c r="A318" s="85" t="str">
        <f>IF(C318="","",VLOOKUP('OPĆI DIO'!$C$3,'OPĆI DIO'!$L$6:$U$138,10,FALSE))</f>
        <v/>
      </c>
      <c r="B318" s="85" t="str">
        <f>IF(C318="","",VLOOKUP('OPĆI DIO'!$C$3,'OPĆI DIO'!$L$6:$U$138,9,FALSE))</f>
        <v/>
      </c>
      <c r="C318" s="90"/>
      <c r="D318" s="85" t="str">
        <f t="shared" si="43"/>
        <v/>
      </c>
      <c r="E318" s="90"/>
      <c r="F318" s="85" t="str">
        <f t="shared" si="44"/>
        <v/>
      </c>
      <c r="G318" s="123"/>
      <c r="H318" s="85" t="str">
        <f t="shared" si="45"/>
        <v/>
      </c>
      <c r="I318" s="85" t="str">
        <f t="shared" si="46"/>
        <v/>
      </c>
      <c r="J318" s="122"/>
      <c r="K318" s="122"/>
      <c r="L318" s="122"/>
      <c r="M318" s="89"/>
      <c r="O318" t="str">
        <f t="shared" si="47"/>
        <v/>
      </c>
      <c r="P318" t="str">
        <f t="shared" si="48"/>
        <v/>
      </c>
      <c r="Q318" t="str">
        <f t="shared" si="49"/>
        <v/>
      </c>
      <c r="R318" t="str">
        <f t="shared" si="50"/>
        <v/>
      </c>
      <c r="AB318" t="s">
        <v>1828</v>
      </c>
      <c r="AC318" t="s">
        <v>1829</v>
      </c>
      <c r="AD318" t="s">
        <v>5153</v>
      </c>
      <c r="AE318" t="s">
        <v>5154</v>
      </c>
      <c r="AF318" t="s">
        <v>5179</v>
      </c>
      <c r="AG318" t="s">
        <v>5180</v>
      </c>
    </row>
    <row r="319" spans="1:33">
      <c r="A319" s="85" t="str">
        <f>IF(C319="","",VLOOKUP('OPĆI DIO'!$C$3,'OPĆI DIO'!$L$6:$U$138,10,FALSE))</f>
        <v/>
      </c>
      <c r="B319" s="85" t="str">
        <f>IF(C319="","",VLOOKUP('OPĆI DIO'!$C$3,'OPĆI DIO'!$L$6:$U$138,9,FALSE))</f>
        <v/>
      </c>
      <c r="C319" s="90"/>
      <c r="D319" s="85" t="str">
        <f t="shared" si="43"/>
        <v/>
      </c>
      <c r="E319" s="90"/>
      <c r="F319" s="85" t="str">
        <f t="shared" si="44"/>
        <v/>
      </c>
      <c r="G319" s="123"/>
      <c r="H319" s="85" t="str">
        <f t="shared" si="45"/>
        <v/>
      </c>
      <c r="I319" s="85" t="str">
        <f t="shared" si="46"/>
        <v/>
      </c>
      <c r="J319" s="122"/>
      <c r="K319" s="122"/>
      <c r="L319" s="122"/>
      <c r="M319" s="89"/>
      <c r="O319" t="str">
        <f t="shared" si="47"/>
        <v/>
      </c>
      <c r="P319" t="str">
        <f t="shared" si="48"/>
        <v/>
      </c>
      <c r="Q319" t="str">
        <f t="shared" si="49"/>
        <v/>
      </c>
      <c r="R319" t="str">
        <f t="shared" si="50"/>
        <v/>
      </c>
      <c r="AB319" t="s">
        <v>3521</v>
      </c>
      <c r="AC319" t="s">
        <v>3522</v>
      </c>
      <c r="AD319" t="s">
        <v>5153</v>
      </c>
      <c r="AE319" t="s">
        <v>5154</v>
      </c>
      <c r="AF319" t="s">
        <v>5179</v>
      </c>
      <c r="AG319" t="s">
        <v>5180</v>
      </c>
    </row>
    <row r="320" spans="1:33">
      <c r="A320" s="85" t="str">
        <f>IF(C320="","",VLOOKUP('OPĆI DIO'!$C$3,'OPĆI DIO'!$L$6:$U$138,10,FALSE))</f>
        <v/>
      </c>
      <c r="B320" s="85" t="str">
        <f>IF(C320="","",VLOOKUP('OPĆI DIO'!$C$3,'OPĆI DIO'!$L$6:$U$138,9,FALSE))</f>
        <v/>
      </c>
      <c r="C320" s="90"/>
      <c r="D320" s="85" t="str">
        <f t="shared" si="43"/>
        <v/>
      </c>
      <c r="E320" s="90"/>
      <c r="F320" s="85" t="str">
        <f t="shared" si="44"/>
        <v/>
      </c>
      <c r="G320" s="123"/>
      <c r="H320" s="85" t="str">
        <f t="shared" si="45"/>
        <v/>
      </c>
      <c r="I320" s="85" t="str">
        <f t="shared" si="46"/>
        <v/>
      </c>
      <c r="J320" s="122"/>
      <c r="K320" s="122"/>
      <c r="L320" s="122"/>
      <c r="M320" s="89"/>
      <c r="O320" t="str">
        <f t="shared" si="47"/>
        <v/>
      </c>
      <c r="P320" t="str">
        <f t="shared" si="48"/>
        <v/>
      </c>
      <c r="Q320" t="str">
        <f t="shared" si="49"/>
        <v/>
      </c>
      <c r="R320" t="str">
        <f t="shared" si="50"/>
        <v/>
      </c>
      <c r="AB320" t="s">
        <v>3523</v>
      </c>
      <c r="AC320" t="s">
        <v>3524</v>
      </c>
      <c r="AD320" t="s">
        <v>5153</v>
      </c>
      <c r="AE320" t="s">
        <v>5154</v>
      </c>
      <c r="AF320" t="s">
        <v>5179</v>
      </c>
      <c r="AG320" t="s">
        <v>5180</v>
      </c>
    </row>
    <row r="321" spans="1:33">
      <c r="A321" s="85" t="str">
        <f>IF(C321="","",VLOOKUP('OPĆI DIO'!$C$3,'OPĆI DIO'!$L$6:$U$138,10,FALSE))</f>
        <v/>
      </c>
      <c r="B321" s="85" t="str">
        <f>IF(C321="","",VLOOKUP('OPĆI DIO'!$C$3,'OPĆI DIO'!$L$6:$U$138,9,FALSE))</f>
        <v/>
      </c>
      <c r="C321" s="90"/>
      <c r="D321" s="85" t="str">
        <f t="shared" si="43"/>
        <v/>
      </c>
      <c r="E321" s="90"/>
      <c r="F321" s="85" t="str">
        <f t="shared" si="44"/>
        <v/>
      </c>
      <c r="G321" s="123"/>
      <c r="H321" s="85" t="str">
        <f t="shared" si="45"/>
        <v/>
      </c>
      <c r="I321" s="85" t="str">
        <f t="shared" si="46"/>
        <v/>
      </c>
      <c r="J321" s="122"/>
      <c r="K321" s="122"/>
      <c r="L321" s="122"/>
      <c r="M321" s="89"/>
      <c r="O321" t="str">
        <f t="shared" si="47"/>
        <v/>
      </c>
      <c r="P321" t="str">
        <f t="shared" si="48"/>
        <v/>
      </c>
      <c r="Q321" t="str">
        <f t="shared" si="49"/>
        <v/>
      </c>
      <c r="R321" t="str">
        <f t="shared" si="50"/>
        <v/>
      </c>
      <c r="AB321" t="s">
        <v>3525</v>
      </c>
      <c r="AC321" t="s">
        <v>3526</v>
      </c>
      <c r="AD321" t="s">
        <v>5153</v>
      </c>
      <c r="AE321" t="s">
        <v>5154</v>
      </c>
      <c r="AF321" t="s">
        <v>5179</v>
      </c>
      <c r="AG321" t="s">
        <v>5180</v>
      </c>
    </row>
    <row r="322" spans="1:33">
      <c r="A322" s="85" t="str">
        <f>IF(C322="","",VLOOKUP('OPĆI DIO'!$C$3,'OPĆI DIO'!$L$6:$U$138,10,FALSE))</f>
        <v/>
      </c>
      <c r="B322" s="85" t="str">
        <f>IF(C322="","",VLOOKUP('OPĆI DIO'!$C$3,'OPĆI DIO'!$L$6:$U$138,9,FALSE))</f>
        <v/>
      </c>
      <c r="C322" s="90"/>
      <c r="D322" s="85" t="str">
        <f t="shared" si="43"/>
        <v/>
      </c>
      <c r="E322" s="90"/>
      <c r="F322" s="85" t="str">
        <f t="shared" si="44"/>
        <v/>
      </c>
      <c r="G322" s="123"/>
      <c r="H322" s="85" t="str">
        <f t="shared" si="45"/>
        <v/>
      </c>
      <c r="I322" s="85" t="str">
        <f t="shared" si="46"/>
        <v/>
      </c>
      <c r="J322" s="122"/>
      <c r="K322" s="122"/>
      <c r="L322" s="122"/>
      <c r="M322" s="89"/>
      <c r="O322" t="str">
        <f t="shared" si="47"/>
        <v/>
      </c>
      <c r="P322" t="str">
        <f t="shared" si="48"/>
        <v/>
      </c>
      <c r="Q322" t="str">
        <f t="shared" si="49"/>
        <v/>
      </c>
      <c r="R322" t="str">
        <f t="shared" si="50"/>
        <v/>
      </c>
      <c r="AB322" t="s">
        <v>1872</v>
      </c>
      <c r="AC322" t="s">
        <v>1873</v>
      </c>
      <c r="AD322" t="s">
        <v>5153</v>
      </c>
      <c r="AE322" t="s">
        <v>5154</v>
      </c>
      <c r="AF322" t="s">
        <v>5179</v>
      </c>
      <c r="AG322" t="s">
        <v>5180</v>
      </c>
    </row>
    <row r="323" spans="1:33">
      <c r="A323" s="85" t="str">
        <f>IF(C323="","",VLOOKUP('OPĆI DIO'!$C$3,'OPĆI DIO'!$L$6:$U$138,10,FALSE))</f>
        <v/>
      </c>
      <c r="B323" s="85" t="str">
        <f>IF(C323="","",VLOOKUP('OPĆI DIO'!$C$3,'OPĆI DIO'!$L$6:$U$138,9,FALSE))</f>
        <v/>
      </c>
      <c r="C323" s="90"/>
      <c r="D323" s="85" t="str">
        <f t="shared" ref="D323:D386" si="51">IFERROR(VLOOKUP(C323,$S$6:$T$24,2,FALSE),"")</f>
        <v/>
      </c>
      <c r="E323" s="90"/>
      <c r="F323" s="85" t="str">
        <f t="shared" si="44"/>
        <v/>
      </c>
      <c r="G323" s="123"/>
      <c r="H323" s="85" t="str">
        <f t="shared" si="45"/>
        <v/>
      </c>
      <c r="I323" s="85" t="str">
        <f t="shared" si="46"/>
        <v/>
      </c>
      <c r="J323" s="122"/>
      <c r="K323" s="122"/>
      <c r="L323" s="122"/>
      <c r="M323" s="89"/>
      <c r="O323" t="str">
        <f t="shared" si="47"/>
        <v/>
      </c>
      <c r="P323" t="str">
        <f t="shared" si="48"/>
        <v/>
      </c>
      <c r="Q323" t="str">
        <f t="shared" si="49"/>
        <v/>
      </c>
      <c r="R323" t="str">
        <f t="shared" si="50"/>
        <v/>
      </c>
      <c r="AB323" t="s">
        <v>960</v>
      </c>
      <c r="AC323" t="s">
        <v>961</v>
      </c>
      <c r="AD323" t="s">
        <v>5153</v>
      </c>
      <c r="AE323" t="s">
        <v>5154</v>
      </c>
      <c r="AF323" t="s">
        <v>5179</v>
      </c>
      <c r="AG323" t="s">
        <v>5180</v>
      </c>
    </row>
    <row r="324" spans="1:33">
      <c r="A324" s="85" t="str">
        <f>IF(C324="","",VLOOKUP('OPĆI DIO'!$C$3,'OPĆI DIO'!$L$6:$U$138,10,FALSE))</f>
        <v/>
      </c>
      <c r="B324" s="85" t="str">
        <f>IF(C324="","",VLOOKUP('OPĆI DIO'!$C$3,'OPĆI DIO'!$L$6:$U$138,9,FALSE))</f>
        <v/>
      </c>
      <c r="C324" s="90"/>
      <c r="D324" s="85" t="str">
        <f t="shared" si="51"/>
        <v/>
      </c>
      <c r="E324" s="90"/>
      <c r="F324" s="85" t="str">
        <f t="shared" ref="F324:F387" si="52">IFERROR(VLOOKUP(E324,$V$5:$X$129,2,FALSE),"")</f>
        <v/>
      </c>
      <c r="G324" s="123"/>
      <c r="H324" s="85" t="str">
        <f t="shared" ref="H324:H387" si="53">IFERROR(VLOOKUP(G324,$AB$6:$AC$327,2,FALSE),"")</f>
        <v/>
      </c>
      <c r="I324" s="85" t="str">
        <f t="shared" ref="I324:I387" si="54">IFERROR(VLOOKUP(G324,$AB$6:$AF$327,3,FALSE),"")</f>
        <v/>
      </c>
      <c r="J324" s="122"/>
      <c r="K324" s="122"/>
      <c r="L324" s="122"/>
      <c r="M324" s="89"/>
      <c r="O324" t="str">
        <f t="shared" ref="O324:O387" si="55">LEFT(E324,3)</f>
        <v/>
      </c>
      <c r="P324" t="str">
        <f t="shared" ref="P324:P387" si="56">LEFT(E324,2)</f>
        <v/>
      </c>
      <c r="Q324" t="str">
        <f t="shared" ref="Q324:Q387" si="57">LEFT(C324,3)</f>
        <v/>
      </c>
      <c r="R324" t="str">
        <f t="shared" ref="R324:R387" si="58">MID(I324,2,2)</f>
        <v/>
      </c>
      <c r="AB324" t="s">
        <v>3527</v>
      </c>
      <c r="AC324" t="s">
        <v>3528</v>
      </c>
      <c r="AD324" t="s">
        <v>5153</v>
      </c>
      <c r="AE324" t="s">
        <v>5154</v>
      </c>
      <c r="AF324" t="s">
        <v>5179</v>
      </c>
      <c r="AG324" t="s">
        <v>5180</v>
      </c>
    </row>
    <row r="325" spans="1:33">
      <c r="A325" s="85" t="str">
        <f>IF(C325="","",VLOOKUP('OPĆI DIO'!$C$3,'OPĆI DIO'!$L$6:$U$138,10,FALSE))</f>
        <v/>
      </c>
      <c r="B325" s="85" t="str">
        <f>IF(C325="","",VLOOKUP('OPĆI DIO'!$C$3,'OPĆI DIO'!$L$6:$U$138,9,FALSE))</f>
        <v/>
      </c>
      <c r="C325" s="90"/>
      <c r="D325" s="85" t="str">
        <f t="shared" si="51"/>
        <v/>
      </c>
      <c r="E325" s="90"/>
      <c r="F325" s="85" t="str">
        <f t="shared" si="52"/>
        <v/>
      </c>
      <c r="G325" s="123"/>
      <c r="H325" s="85" t="str">
        <f t="shared" si="53"/>
        <v/>
      </c>
      <c r="I325" s="85" t="str">
        <f t="shared" si="54"/>
        <v/>
      </c>
      <c r="J325" s="122"/>
      <c r="K325" s="122"/>
      <c r="L325" s="122"/>
      <c r="M325" s="89"/>
      <c r="O325" t="str">
        <f t="shared" si="55"/>
        <v/>
      </c>
      <c r="P325" t="str">
        <f t="shared" si="56"/>
        <v/>
      </c>
      <c r="Q325" t="str">
        <f t="shared" si="57"/>
        <v/>
      </c>
      <c r="R325" t="str">
        <f t="shared" si="58"/>
        <v/>
      </c>
      <c r="AB325" t="s">
        <v>3529</v>
      </c>
      <c r="AC325" t="s">
        <v>3530</v>
      </c>
      <c r="AD325" t="s">
        <v>5153</v>
      </c>
      <c r="AE325" t="s">
        <v>5154</v>
      </c>
      <c r="AF325" t="s">
        <v>5179</v>
      </c>
      <c r="AG325" t="s">
        <v>5180</v>
      </c>
    </row>
    <row r="326" spans="1:33">
      <c r="A326" s="85" t="str">
        <f>IF(C326="","",VLOOKUP('OPĆI DIO'!$C$3,'OPĆI DIO'!$L$6:$U$138,10,FALSE))</f>
        <v/>
      </c>
      <c r="B326" s="85" t="str">
        <f>IF(C326="","",VLOOKUP('OPĆI DIO'!$C$3,'OPĆI DIO'!$L$6:$U$138,9,FALSE))</f>
        <v/>
      </c>
      <c r="C326" s="90"/>
      <c r="D326" s="85" t="str">
        <f t="shared" si="51"/>
        <v/>
      </c>
      <c r="E326" s="90"/>
      <c r="F326" s="85" t="str">
        <f t="shared" si="52"/>
        <v/>
      </c>
      <c r="G326" s="123"/>
      <c r="H326" s="85" t="str">
        <f t="shared" si="53"/>
        <v/>
      </c>
      <c r="I326" s="85" t="str">
        <f t="shared" si="54"/>
        <v/>
      </c>
      <c r="J326" s="122"/>
      <c r="K326" s="122"/>
      <c r="L326" s="122"/>
      <c r="M326" s="89"/>
      <c r="O326" t="str">
        <f t="shared" si="55"/>
        <v/>
      </c>
      <c r="P326" t="str">
        <f t="shared" si="56"/>
        <v/>
      </c>
      <c r="Q326" t="str">
        <f t="shared" si="57"/>
        <v/>
      </c>
      <c r="R326" t="str">
        <f t="shared" si="58"/>
        <v/>
      </c>
      <c r="AB326" t="s">
        <v>3531</v>
      </c>
      <c r="AC326" t="s">
        <v>3532</v>
      </c>
      <c r="AD326" t="s">
        <v>5153</v>
      </c>
      <c r="AE326" t="s">
        <v>5154</v>
      </c>
      <c r="AF326" t="s">
        <v>5179</v>
      </c>
      <c r="AG326" t="s">
        <v>5180</v>
      </c>
    </row>
    <row r="327" spans="1:33">
      <c r="A327" s="85" t="str">
        <f>IF(C327="","",VLOOKUP('OPĆI DIO'!$C$3,'OPĆI DIO'!$L$6:$U$138,10,FALSE))</f>
        <v/>
      </c>
      <c r="B327" s="85" t="str">
        <f>IF(C327="","",VLOOKUP('OPĆI DIO'!$C$3,'OPĆI DIO'!$L$6:$U$138,9,FALSE))</f>
        <v/>
      </c>
      <c r="C327" s="90"/>
      <c r="D327" s="85" t="str">
        <f t="shared" si="51"/>
        <v/>
      </c>
      <c r="E327" s="90"/>
      <c r="F327" s="85" t="str">
        <f t="shared" si="52"/>
        <v/>
      </c>
      <c r="G327" s="123"/>
      <c r="H327" s="85" t="str">
        <f t="shared" si="53"/>
        <v/>
      </c>
      <c r="I327" s="85" t="str">
        <f t="shared" si="54"/>
        <v/>
      </c>
      <c r="J327" s="122"/>
      <c r="K327" s="122"/>
      <c r="L327" s="122"/>
      <c r="M327" s="89"/>
      <c r="O327" t="str">
        <f t="shared" si="55"/>
        <v/>
      </c>
      <c r="P327" t="str">
        <f t="shared" si="56"/>
        <v/>
      </c>
      <c r="Q327" t="str">
        <f t="shared" si="57"/>
        <v/>
      </c>
      <c r="R327" t="str">
        <f t="shared" si="58"/>
        <v/>
      </c>
      <c r="AB327" t="s">
        <v>3469</v>
      </c>
      <c r="AC327" t="s">
        <v>685</v>
      </c>
      <c r="AD327" t="s">
        <v>5153</v>
      </c>
      <c r="AE327" t="s">
        <v>5154</v>
      </c>
      <c r="AF327" t="s">
        <v>5179</v>
      </c>
      <c r="AG327" t="s">
        <v>5180</v>
      </c>
    </row>
    <row r="328" spans="1:33">
      <c r="A328" s="85" t="str">
        <f>IF(C328="","",VLOOKUP('OPĆI DIO'!$C$3,'OPĆI DIO'!$L$6:$U$138,10,FALSE))</f>
        <v/>
      </c>
      <c r="B328" s="85" t="str">
        <f>IF(C328="","",VLOOKUP('OPĆI DIO'!$C$3,'OPĆI DIO'!$L$6:$U$138,9,FALSE))</f>
        <v/>
      </c>
      <c r="C328" s="90"/>
      <c r="D328" s="85" t="str">
        <f t="shared" si="51"/>
        <v/>
      </c>
      <c r="E328" s="90"/>
      <c r="F328" s="85" t="str">
        <f t="shared" si="52"/>
        <v/>
      </c>
      <c r="G328" s="123"/>
      <c r="H328" s="85" t="str">
        <f t="shared" si="53"/>
        <v/>
      </c>
      <c r="I328" s="85" t="str">
        <f t="shared" si="54"/>
        <v/>
      </c>
      <c r="J328" s="122"/>
      <c r="K328" s="122"/>
      <c r="L328" s="122"/>
      <c r="M328" s="89"/>
      <c r="O328" t="str">
        <f t="shared" si="55"/>
        <v/>
      </c>
      <c r="P328" t="str">
        <f t="shared" si="56"/>
        <v/>
      </c>
      <c r="Q328" t="str">
        <f t="shared" si="57"/>
        <v/>
      </c>
      <c r="R328" t="str">
        <f t="shared" si="58"/>
        <v/>
      </c>
    </row>
    <row r="329" spans="1:33">
      <c r="A329" s="85" t="str">
        <f>IF(C329="","",VLOOKUP('OPĆI DIO'!$C$3,'OPĆI DIO'!$L$6:$U$138,10,FALSE))</f>
        <v/>
      </c>
      <c r="B329" s="85" t="str">
        <f>IF(C329="","",VLOOKUP('OPĆI DIO'!$C$3,'OPĆI DIO'!$L$6:$U$138,9,FALSE))</f>
        <v/>
      </c>
      <c r="C329" s="90"/>
      <c r="D329" s="85" t="str">
        <f t="shared" si="51"/>
        <v/>
      </c>
      <c r="E329" s="90"/>
      <c r="F329" s="85" t="str">
        <f t="shared" si="52"/>
        <v/>
      </c>
      <c r="G329" s="123"/>
      <c r="H329" s="85" t="str">
        <f t="shared" si="53"/>
        <v/>
      </c>
      <c r="I329" s="85" t="str">
        <f t="shared" si="54"/>
        <v/>
      </c>
      <c r="J329" s="122"/>
      <c r="K329" s="122"/>
      <c r="L329" s="122"/>
      <c r="M329" s="89"/>
      <c r="O329" t="str">
        <f t="shared" si="55"/>
        <v/>
      </c>
      <c r="P329" t="str">
        <f t="shared" si="56"/>
        <v/>
      </c>
      <c r="Q329" t="str">
        <f t="shared" si="57"/>
        <v/>
      </c>
      <c r="R329" t="str">
        <f t="shared" si="58"/>
        <v/>
      </c>
    </row>
    <row r="330" spans="1:33">
      <c r="A330" s="85" t="str">
        <f>IF(C330="","",VLOOKUP('OPĆI DIO'!$C$3,'OPĆI DIO'!$L$6:$U$138,10,FALSE))</f>
        <v/>
      </c>
      <c r="B330" s="85" t="str">
        <f>IF(C330="","",VLOOKUP('OPĆI DIO'!$C$3,'OPĆI DIO'!$L$6:$U$138,9,FALSE))</f>
        <v/>
      </c>
      <c r="C330" s="90"/>
      <c r="D330" s="85" t="str">
        <f t="shared" si="51"/>
        <v/>
      </c>
      <c r="E330" s="90"/>
      <c r="F330" s="85" t="str">
        <f t="shared" si="52"/>
        <v/>
      </c>
      <c r="G330" s="123"/>
      <c r="H330" s="85" t="str">
        <f t="shared" si="53"/>
        <v/>
      </c>
      <c r="I330" s="85" t="str">
        <f t="shared" si="54"/>
        <v/>
      </c>
      <c r="J330" s="122"/>
      <c r="K330" s="122"/>
      <c r="L330" s="122"/>
      <c r="M330" s="89"/>
      <c r="O330" t="str">
        <f t="shared" si="55"/>
        <v/>
      </c>
      <c r="P330" t="str">
        <f t="shared" si="56"/>
        <v/>
      </c>
      <c r="Q330" t="str">
        <f t="shared" si="57"/>
        <v/>
      </c>
      <c r="R330" t="str">
        <f t="shared" si="58"/>
        <v/>
      </c>
    </row>
    <row r="331" spans="1:33">
      <c r="A331" s="85" t="str">
        <f>IF(C331="","",VLOOKUP('OPĆI DIO'!$C$3,'OPĆI DIO'!$L$6:$U$138,10,FALSE))</f>
        <v/>
      </c>
      <c r="B331" s="85" t="str">
        <f>IF(C331="","",VLOOKUP('OPĆI DIO'!$C$3,'OPĆI DIO'!$L$6:$U$138,9,FALSE))</f>
        <v/>
      </c>
      <c r="C331" s="90"/>
      <c r="D331" s="85" t="str">
        <f t="shared" si="51"/>
        <v/>
      </c>
      <c r="E331" s="90"/>
      <c r="F331" s="85" t="str">
        <f t="shared" si="52"/>
        <v/>
      </c>
      <c r="G331" s="123"/>
      <c r="H331" s="85" t="str">
        <f t="shared" si="53"/>
        <v/>
      </c>
      <c r="I331" s="85" t="str">
        <f t="shared" si="54"/>
        <v/>
      </c>
      <c r="J331" s="122"/>
      <c r="K331" s="122"/>
      <c r="L331" s="122"/>
      <c r="M331" s="89"/>
      <c r="O331" t="str">
        <f t="shared" si="55"/>
        <v/>
      </c>
      <c r="P331" t="str">
        <f t="shared" si="56"/>
        <v/>
      </c>
      <c r="Q331" t="str">
        <f t="shared" si="57"/>
        <v/>
      </c>
      <c r="R331" t="str">
        <f t="shared" si="58"/>
        <v/>
      </c>
    </row>
    <row r="332" spans="1:33">
      <c r="A332" s="85" t="str">
        <f>IF(C332="","",VLOOKUP('OPĆI DIO'!$C$3,'OPĆI DIO'!$L$6:$U$138,10,FALSE))</f>
        <v/>
      </c>
      <c r="B332" s="85" t="str">
        <f>IF(C332="","",VLOOKUP('OPĆI DIO'!$C$3,'OPĆI DIO'!$L$6:$U$138,9,FALSE))</f>
        <v/>
      </c>
      <c r="C332" s="90"/>
      <c r="D332" s="85" t="str">
        <f t="shared" si="51"/>
        <v/>
      </c>
      <c r="E332" s="90"/>
      <c r="F332" s="85" t="str">
        <f t="shared" si="52"/>
        <v/>
      </c>
      <c r="G332" s="123"/>
      <c r="H332" s="85" t="str">
        <f t="shared" si="53"/>
        <v/>
      </c>
      <c r="I332" s="85" t="str">
        <f t="shared" si="54"/>
        <v/>
      </c>
      <c r="J332" s="122"/>
      <c r="K332" s="122"/>
      <c r="L332" s="122"/>
      <c r="M332" s="89"/>
      <c r="O332" t="str">
        <f t="shared" si="55"/>
        <v/>
      </c>
      <c r="P332" t="str">
        <f t="shared" si="56"/>
        <v/>
      </c>
      <c r="Q332" t="str">
        <f t="shared" si="57"/>
        <v/>
      </c>
      <c r="R332" t="str">
        <f t="shared" si="58"/>
        <v/>
      </c>
    </row>
    <row r="333" spans="1:33">
      <c r="A333" s="85" t="str">
        <f>IF(C333="","",VLOOKUP('OPĆI DIO'!$C$3,'OPĆI DIO'!$L$6:$U$138,10,FALSE))</f>
        <v/>
      </c>
      <c r="B333" s="85" t="str">
        <f>IF(C333="","",VLOOKUP('OPĆI DIO'!$C$3,'OPĆI DIO'!$L$6:$U$138,9,FALSE))</f>
        <v/>
      </c>
      <c r="C333" s="90"/>
      <c r="D333" s="85" t="str">
        <f t="shared" si="51"/>
        <v/>
      </c>
      <c r="E333" s="90"/>
      <c r="F333" s="85" t="str">
        <f t="shared" si="52"/>
        <v/>
      </c>
      <c r="G333" s="123"/>
      <c r="H333" s="85" t="str">
        <f t="shared" si="53"/>
        <v/>
      </c>
      <c r="I333" s="85" t="str">
        <f t="shared" si="54"/>
        <v/>
      </c>
      <c r="J333" s="122"/>
      <c r="K333" s="122"/>
      <c r="L333" s="122"/>
      <c r="M333" s="89"/>
      <c r="O333" t="str">
        <f t="shared" si="55"/>
        <v/>
      </c>
      <c r="P333" t="str">
        <f t="shared" si="56"/>
        <v/>
      </c>
      <c r="Q333" t="str">
        <f t="shared" si="57"/>
        <v/>
      </c>
      <c r="R333" t="str">
        <f t="shared" si="58"/>
        <v/>
      </c>
    </row>
    <row r="334" spans="1:33">
      <c r="A334" s="85" t="str">
        <f>IF(C334="","",VLOOKUP('OPĆI DIO'!$C$3,'OPĆI DIO'!$L$6:$U$138,10,FALSE))</f>
        <v/>
      </c>
      <c r="B334" s="85" t="str">
        <f>IF(C334="","",VLOOKUP('OPĆI DIO'!$C$3,'OPĆI DIO'!$L$6:$U$138,9,FALSE))</f>
        <v/>
      </c>
      <c r="C334" s="90"/>
      <c r="D334" s="85" t="str">
        <f t="shared" si="51"/>
        <v/>
      </c>
      <c r="E334" s="90"/>
      <c r="F334" s="85" t="str">
        <f t="shared" si="52"/>
        <v/>
      </c>
      <c r="G334" s="123"/>
      <c r="H334" s="85" t="str">
        <f t="shared" si="53"/>
        <v/>
      </c>
      <c r="I334" s="85" t="str">
        <f t="shared" si="54"/>
        <v/>
      </c>
      <c r="J334" s="122"/>
      <c r="K334" s="122"/>
      <c r="L334" s="122"/>
      <c r="M334" s="89"/>
      <c r="O334" t="str">
        <f t="shared" si="55"/>
        <v/>
      </c>
      <c r="P334" t="str">
        <f t="shared" si="56"/>
        <v/>
      </c>
      <c r="Q334" t="str">
        <f t="shared" si="57"/>
        <v/>
      </c>
      <c r="R334" t="str">
        <f t="shared" si="58"/>
        <v/>
      </c>
    </row>
    <row r="335" spans="1:33">
      <c r="A335" s="85" t="str">
        <f>IF(C335="","",VLOOKUP('OPĆI DIO'!$C$3,'OPĆI DIO'!$L$6:$U$138,10,FALSE))</f>
        <v/>
      </c>
      <c r="B335" s="85" t="str">
        <f>IF(C335="","",VLOOKUP('OPĆI DIO'!$C$3,'OPĆI DIO'!$L$6:$U$138,9,FALSE))</f>
        <v/>
      </c>
      <c r="C335" s="90"/>
      <c r="D335" s="85" t="str">
        <f t="shared" si="51"/>
        <v/>
      </c>
      <c r="E335" s="90"/>
      <c r="F335" s="85" t="str">
        <f t="shared" si="52"/>
        <v/>
      </c>
      <c r="G335" s="123"/>
      <c r="H335" s="85" t="str">
        <f t="shared" si="53"/>
        <v/>
      </c>
      <c r="I335" s="85" t="str">
        <f t="shared" si="54"/>
        <v/>
      </c>
      <c r="J335" s="122"/>
      <c r="K335" s="122"/>
      <c r="L335" s="122"/>
      <c r="M335" s="89"/>
      <c r="O335" t="str">
        <f t="shared" si="55"/>
        <v/>
      </c>
      <c r="P335" t="str">
        <f t="shared" si="56"/>
        <v/>
      </c>
      <c r="Q335" t="str">
        <f t="shared" si="57"/>
        <v/>
      </c>
      <c r="R335" t="str">
        <f t="shared" si="58"/>
        <v/>
      </c>
    </row>
    <row r="336" spans="1:33">
      <c r="A336" s="85" t="str">
        <f>IF(C336="","",VLOOKUP('OPĆI DIO'!$C$3,'OPĆI DIO'!$L$6:$U$138,10,FALSE))</f>
        <v/>
      </c>
      <c r="B336" s="85" t="str">
        <f>IF(C336="","",VLOOKUP('OPĆI DIO'!$C$3,'OPĆI DIO'!$L$6:$U$138,9,FALSE))</f>
        <v/>
      </c>
      <c r="C336" s="90"/>
      <c r="D336" s="85" t="str">
        <f t="shared" si="51"/>
        <v/>
      </c>
      <c r="E336" s="90"/>
      <c r="F336" s="85" t="str">
        <f t="shared" si="52"/>
        <v/>
      </c>
      <c r="G336" s="123"/>
      <c r="H336" s="85" t="str">
        <f t="shared" si="53"/>
        <v/>
      </c>
      <c r="I336" s="85" t="str">
        <f t="shared" si="54"/>
        <v/>
      </c>
      <c r="J336" s="122"/>
      <c r="K336" s="122"/>
      <c r="L336" s="122"/>
      <c r="M336" s="89"/>
      <c r="O336" t="str">
        <f t="shared" si="55"/>
        <v/>
      </c>
      <c r="P336" t="str">
        <f t="shared" si="56"/>
        <v/>
      </c>
      <c r="Q336" t="str">
        <f t="shared" si="57"/>
        <v/>
      </c>
      <c r="R336" t="str">
        <f t="shared" si="58"/>
        <v/>
      </c>
    </row>
    <row r="337" spans="1:18">
      <c r="A337" s="85" t="str">
        <f>IF(C337="","",VLOOKUP('OPĆI DIO'!$C$3,'OPĆI DIO'!$L$6:$U$138,10,FALSE))</f>
        <v/>
      </c>
      <c r="B337" s="85" t="str">
        <f>IF(C337="","",VLOOKUP('OPĆI DIO'!$C$3,'OPĆI DIO'!$L$6:$U$138,9,FALSE))</f>
        <v/>
      </c>
      <c r="C337" s="90"/>
      <c r="D337" s="85" t="str">
        <f t="shared" si="51"/>
        <v/>
      </c>
      <c r="E337" s="90"/>
      <c r="F337" s="85" t="str">
        <f t="shared" si="52"/>
        <v/>
      </c>
      <c r="G337" s="123"/>
      <c r="H337" s="85" t="str">
        <f t="shared" si="53"/>
        <v/>
      </c>
      <c r="I337" s="85" t="str">
        <f t="shared" si="54"/>
        <v/>
      </c>
      <c r="J337" s="122"/>
      <c r="K337" s="122"/>
      <c r="L337" s="122"/>
      <c r="M337" s="89"/>
      <c r="O337" t="str">
        <f t="shared" si="55"/>
        <v/>
      </c>
      <c r="P337" t="str">
        <f t="shared" si="56"/>
        <v/>
      </c>
      <c r="Q337" t="str">
        <f t="shared" si="57"/>
        <v/>
      </c>
      <c r="R337" t="str">
        <f t="shared" si="58"/>
        <v/>
      </c>
    </row>
    <row r="338" spans="1:18">
      <c r="A338" s="85" t="str">
        <f>IF(C338="","",VLOOKUP('OPĆI DIO'!$C$3,'OPĆI DIO'!$L$6:$U$138,10,FALSE))</f>
        <v/>
      </c>
      <c r="B338" s="85" t="str">
        <f>IF(C338="","",VLOOKUP('OPĆI DIO'!$C$3,'OPĆI DIO'!$L$6:$U$138,9,FALSE))</f>
        <v/>
      </c>
      <c r="C338" s="90"/>
      <c r="D338" s="85" t="str">
        <f t="shared" si="51"/>
        <v/>
      </c>
      <c r="E338" s="90"/>
      <c r="F338" s="85" t="str">
        <f t="shared" si="52"/>
        <v/>
      </c>
      <c r="G338" s="123"/>
      <c r="H338" s="85" t="str">
        <f t="shared" si="53"/>
        <v/>
      </c>
      <c r="I338" s="85" t="str">
        <f t="shared" si="54"/>
        <v/>
      </c>
      <c r="J338" s="122"/>
      <c r="K338" s="122"/>
      <c r="L338" s="122"/>
      <c r="M338" s="89"/>
      <c r="O338" t="str">
        <f t="shared" si="55"/>
        <v/>
      </c>
      <c r="P338" t="str">
        <f t="shared" si="56"/>
        <v/>
      </c>
      <c r="Q338" t="str">
        <f t="shared" si="57"/>
        <v/>
      </c>
      <c r="R338" t="str">
        <f t="shared" si="58"/>
        <v/>
      </c>
    </row>
    <row r="339" spans="1:18">
      <c r="A339" s="85" t="str">
        <f>IF(C339="","",VLOOKUP('OPĆI DIO'!$C$3,'OPĆI DIO'!$L$6:$U$138,10,FALSE))</f>
        <v/>
      </c>
      <c r="B339" s="85" t="str">
        <f>IF(C339="","",VLOOKUP('OPĆI DIO'!$C$3,'OPĆI DIO'!$L$6:$U$138,9,FALSE))</f>
        <v/>
      </c>
      <c r="C339" s="90"/>
      <c r="D339" s="85" t="str">
        <f t="shared" si="51"/>
        <v/>
      </c>
      <c r="E339" s="90"/>
      <c r="F339" s="85" t="str">
        <f t="shared" si="52"/>
        <v/>
      </c>
      <c r="G339" s="123"/>
      <c r="H339" s="85" t="str">
        <f t="shared" si="53"/>
        <v/>
      </c>
      <c r="I339" s="85" t="str">
        <f t="shared" si="54"/>
        <v/>
      </c>
      <c r="J339" s="122"/>
      <c r="K339" s="122"/>
      <c r="L339" s="122"/>
      <c r="M339" s="89"/>
      <c r="O339" t="str">
        <f t="shared" si="55"/>
        <v/>
      </c>
      <c r="P339" t="str">
        <f t="shared" si="56"/>
        <v/>
      </c>
      <c r="Q339" t="str">
        <f t="shared" si="57"/>
        <v/>
      </c>
      <c r="R339" t="str">
        <f t="shared" si="58"/>
        <v/>
      </c>
    </row>
    <row r="340" spans="1:18">
      <c r="A340" s="85" t="str">
        <f>IF(C340="","",VLOOKUP('OPĆI DIO'!$C$3,'OPĆI DIO'!$L$6:$U$138,10,FALSE))</f>
        <v/>
      </c>
      <c r="B340" s="85" t="str">
        <f>IF(C340="","",VLOOKUP('OPĆI DIO'!$C$3,'OPĆI DIO'!$L$6:$U$138,9,FALSE))</f>
        <v/>
      </c>
      <c r="C340" s="90"/>
      <c r="D340" s="85" t="str">
        <f t="shared" si="51"/>
        <v/>
      </c>
      <c r="E340" s="90"/>
      <c r="F340" s="85" t="str">
        <f t="shared" si="52"/>
        <v/>
      </c>
      <c r="G340" s="123"/>
      <c r="H340" s="85" t="str">
        <f t="shared" si="53"/>
        <v/>
      </c>
      <c r="I340" s="85" t="str">
        <f t="shared" si="54"/>
        <v/>
      </c>
      <c r="J340" s="122"/>
      <c r="K340" s="122"/>
      <c r="L340" s="122"/>
      <c r="M340" s="89"/>
      <c r="O340" t="str">
        <f t="shared" si="55"/>
        <v/>
      </c>
      <c r="P340" t="str">
        <f t="shared" si="56"/>
        <v/>
      </c>
      <c r="Q340" t="str">
        <f t="shared" si="57"/>
        <v/>
      </c>
      <c r="R340" t="str">
        <f t="shared" si="58"/>
        <v/>
      </c>
    </row>
    <row r="341" spans="1:18">
      <c r="A341" s="85" t="str">
        <f>IF(C341="","",VLOOKUP('OPĆI DIO'!$C$3,'OPĆI DIO'!$L$6:$U$138,10,FALSE))</f>
        <v/>
      </c>
      <c r="B341" s="85" t="str">
        <f>IF(C341="","",VLOOKUP('OPĆI DIO'!$C$3,'OPĆI DIO'!$L$6:$U$138,9,FALSE))</f>
        <v/>
      </c>
      <c r="C341" s="90"/>
      <c r="D341" s="85" t="str">
        <f t="shared" si="51"/>
        <v/>
      </c>
      <c r="E341" s="90"/>
      <c r="F341" s="85" t="str">
        <f t="shared" si="52"/>
        <v/>
      </c>
      <c r="G341" s="123"/>
      <c r="H341" s="85" t="str">
        <f t="shared" si="53"/>
        <v/>
      </c>
      <c r="I341" s="85" t="str">
        <f t="shared" si="54"/>
        <v/>
      </c>
      <c r="J341" s="122"/>
      <c r="K341" s="122"/>
      <c r="L341" s="122"/>
      <c r="M341" s="89"/>
      <c r="O341" t="str">
        <f t="shared" si="55"/>
        <v/>
      </c>
      <c r="P341" t="str">
        <f t="shared" si="56"/>
        <v/>
      </c>
      <c r="Q341" t="str">
        <f t="shared" si="57"/>
        <v/>
      </c>
      <c r="R341" t="str">
        <f t="shared" si="58"/>
        <v/>
      </c>
    </row>
    <row r="342" spans="1:18">
      <c r="A342" s="85" t="str">
        <f>IF(C342="","",VLOOKUP('OPĆI DIO'!$C$3,'OPĆI DIO'!$L$6:$U$138,10,FALSE))</f>
        <v/>
      </c>
      <c r="B342" s="85" t="str">
        <f>IF(C342="","",VLOOKUP('OPĆI DIO'!$C$3,'OPĆI DIO'!$L$6:$U$138,9,FALSE))</f>
        <v/>
      </c>
      <c r="C342" s="90"/>
      <c r="D342" s="85" t="str">
        <f t="shared" si="51"/>
        <v/>
      </c>
      <c r="E342" s="90"/>
      <c r="F342" s="85" t="str">
        <f t="shared" si="52"/>
        <v/>
      </c>
      <c r="G342" s="123"/>
      <c r="H342" s="85" t="str">
        <f t="shared" si="53"/>
        <v/>
      </c>
      <c r="I342" s="85" t="str">
        <f t="shared" si="54"/>
        <v/>
      </c>
      <c r="J342" s="122"/>
      <c r="K342" s="122"/>
      <c r="L342" s="122"/>
      <c r="M342" s="89"/>
      <c r="O342" t="str">
        <f t="shared" si="55"/>
        <v/>
      </c>
      <c r="P342" t="str">
        <f t="shared" si="56"/>
        <v/>
      </c>
      <c r="Q342" t="str">
        <f t="shared" si="57"/>
        <v/>
      </c>
      <c r="R342" t="str">
        <f t="shared" si="58"/>
        <v/>
      </c>
    </row>
    <row r="343" spans="1:18">
      <c r="A343" s="85" t="str">
        <f>IF(C343="","",VLOOKUP('OPĆI DIO'!$C$3,'OPĆI DIO'!$L$6:$U$138,10,FALSE))</f>
        <v/>
      </c>
      <c r="B343" s="85" t="str">
        <f>IF(C343="","",VLOOKUP('OPĆI DIO'!$C$3,'OPĆI DIO'!$L$6:$U$138,9,FALSE))</f>
        <v/>
      </c>
      <c r="C343" s="90"/>
      <c r="D343" s="85" t="str">
        <f t="shared" si="51"/>
        <v/>
      </c>
      <c r="E343" s="90"/>
      <c r="F343" s="85" t="str">
        <f t="shared" si="52"/>
        <v/>
      </c>
      <c r="G343" s="123"/>
      <c r="H343" s="85" t="str">
        <f t="shared" si="53"/>
        <v/>
      </c>
      <c r="I343" s="85" t="str">
        <f t="shared" si="54"/>
        <v/>
      </c>
      <c r="J343" s="122"/>
      <c r="K343" s="122"/>
      <c r="L343" s="122"/>
      <c r="M343" s="89"/>
      <c r="O343" t="str">
        <f t="shared" si="55"/>
        <v/>
      </c>
      <c r="P343" t="str">
        <f t="shared" si="56"/>
        <v/>
      </c>
      <c r="Q343" t="str">
        <f t="shared" si="57"/>
        <v/>
      </c>
      <c r="R343" t="str">
        <f t="shared" si="58"/>
        <v/>
      </c>
    </row>
    <row r="344" spans="1:18">
      <c r="A344" s="85" t="str">
        <f>IF(C344="","",VLOOKUP('OPĆI DIO'!$C$3,'OPĆI DIO'!$L$6:$U$138,10,FALSE))</f>
        <v/>
      </c>
      <c r="B344" s="85" t="str">
        <f>IF(C344="","",VLOOKUP('OPĆI DIO'!$C$3,'OPĆI DIO'!$L$6:$U$138,9,FALSE))</f>
        <v/>
      </c>
      <c r="C344" s="90"/>
      <c r="D344" s="85" t="str">
        <f t="shared" si="51"/>
        <v/>
      </c>
      <c r="E344" s="90"/>
      <c r="F344" s="85" t="str">
        <f t="shared" si="52"/>
        <v/>
      </c>
      <c r="G344" s="123"/>
      <c r="H344" s="85" t="str">
        <f t="shared" si="53"/>
        <v/>
      </c>
      <c r="I344" s="85" t="str">
        <f t="shared" si="54"/>
        <v/>
      </c>
      <c r="J344" s="122"/>
      <c r="K344" s="122"/>
      <c r="L344" s="122"/>
      <c r="M344" s="89"/>
      <c r="O344" t="str">
        <f t="shared" si="55"/>
        <v/>
      </c>
      <c r="P344" t="str">
        <f t="shared" si="56"/>
        <v/>
      </c>
      <c r="Q344" t="str">
        <f t="shared" si="57"/>
        <v/>
      </c>
      <c r="R344" t="str">
        <f t="shared" si="58"/>
        <v/>
      </c>
    </row>
    <row r="345" spans="1:18">
      <c r="A345" s="85" t="str">
        <f>IF(C345="","",VLOOKUP('OPĆI DIO'!$C$3,'OPĆI DIO'!$L$6:$U$138,10,FALSE))</f>
        <v/>
      </c>
      <c r="B345" s="85" t="str">
        <f>IF(C345="","",VLOOKUP('OPĆI DIO'!$C$3,'OPĆI DIO'!$L$6:$U$138,9,FALSE))</f>
        <v/>
      </c>
      <c r="C345" s="90"/>
      <c r="D345" s="85" t="str">
        <f t="shared" si="51"/>
        <v/>
      </c>
      <c r="E345" s="90"/>
      <c r="F345" s="85" t="str">
        <f t="shared" si="52"/>
        <v/>
      </c>
      <c r="G345" s="123"/>
      <c r="H345" s="85" t="str">
        <f t="shared" si="53"/>
        <v/>
      </c>
      <c r="I345" s="85" t="str">
        <f t="shared" si="54"/>
        <v/>
      </c>
      <c r="J345" s="122"/>
      <c r="K345" s="122"/>
      <c r="L345" s="122"/>
      <c r="M345" s="89"/>
      <c r="O345" t="str">
        <f t="shared" si="55"/>
        <v/>
      </c>
      <c r="P345" t="str">
        <f t="shared" si="56"/>
        <v/>
      </c>
      <c r="Q345" t="str">
        <f t="shared" si="57"/>
        <v/>
      </c>
      <c r="R345" t="str">
        <f t="shared" si="58"/>
        <v/>
      </c>
    </row>
    <row r="346" spans="1:18">
      <c r="A346" s="85" t="str">
        <f>IF(C346="","",VLOOKUP('OPĆI DIO'!$C$3,'OPĆI DIO'!$L$6:$U$138,10,FALSE))</f>
        <v/>
      </c>
      <c r="B346" s="85" t="str">
        <f>IF(C346="","",VLOOKUP('OPĆI DIO'!$C$3,'OPĆI DIO'!$L$6:$U$138,9,FALSE))</f>
        <v/>
      </c>
      <c r="C346" s="90"/>
      <c r="D346" s="85" t="str">
        <f t="shared" si="51"/>
        <v/>
      </c>
      <c r="E346" s="90"/>
      <c r="F346" s="85" t="str">
        <f t="shared" si="52"/>
        <v/>
      </c>
      <c r="G346" s="123"/>
      <c r="H346" s="85" t="str">
        <f t="shared" si="53"/>
        <v/>
      </c>
      <c r="I346" s="85" t="str">
        <f t="shared" si="54"/>
        <v/>
      </c>
      <c r="J346" s="122"/>
      <c r="K346" s="122"/>
      <c r="L346" s="122"/>
      <c r="M346" s="89"/>
      <c r="O346" t="str">
        <f t="shared" si="55"/>
        <v/>
      </c>
      <c r="P346" t="str">
        <f t="shared" si="56"/>
        <v/>
      </c>
      <c r="Q346" t="str">
        <f t="shared" si="57"/>
        <v/>
      </c>
      <c r="R346" t="str">
        <f t="shared" si="58"/>
        <v/>
      </c>
    </row>
    <row r="347" spans="1:18">
      <c r="A347" s="85" t="str">
        <f>IF(C347="","",VLOOKUP('OPĆI DIO'!$C$3,'OPĆI DIO'!$L$6:$U$138,10,FALSE))</f>
        <v/>
      </c>
      <c r="B347" s="85" t="str">
        <f>IF(C347="","",VLOOKUP('OPĆI DIO'!$C$3,'OPĆI DIO'!$L$6:$U$138,9,FALSE))</f>
        <v/>
      </c>
      <c r="C347" s="90"/>
      <c r="D347" s="85" t="str">
        <f t="shared" si="51"/>
        <v/>
      </c>
      <c r="E347" s="90"/>
      <c r="F347" s="85" t="str">
        <f t="shared" si="52"/>
        <v/>
      </c>
      <c r="G347" s="123"/>
      <c r="H347" s="85" t="str">
        <f t="shared" si="53"/>
        <v/>
      </c>
      <c r="I347" s="85" t="str">
        <f t="shared" si="54"/>
        <v/>
      </c>
      <c r="J347" s="122"/>
      <c r="K347" s="122"/>
      <c r="L347" s="122"/>
      <c r="M347" s="89"/>
      <c r="O347" t="str">
        <f t="shared" si="55"/>
        <v/>
      </c>
      <c r="P347" t="str">
        <f t="shared" si="56"/>
        <v/>
      </c>
      <c r="Q347" t="str">
        <f t="shared" si="57"/>
        <v/>
      </c>
      <c r="R347" t="str">
        <f t="shared" si="58"/>
        <v/>
      </c>
    </row>
    <row r="348" spans="1:18">
      <c r="A348" s="85" t="str">
        <f>IF(C348="","",VLOOKUP('OPĆI DIO'!$C$3,'OPĆI DIO'!$L$6:$U$138,10,FALSE))</f>
        <v/>
      </c>
      <c r="B348" s="85" t="str">
        <f>IF(C348="","",VLOOKUP('OPĆI DIO'!$C$3,'OPĆI DIO'!$L$6:$U$138,9,FALSE))</f>
        <v/>
      </c>
      <c r="C348" s="90"/>
      <c r="D348" s="85" t="str">
        <f t="shared" si="51"/>
        <v/>
      </c>
      <c r="E348" s="90"/>
      <c r="F348" s="85" t="str">
        <f t="shared" si="52"/>
        <v/>
      </c>
      <c r="G348" s="123"/>
      <c r="H348" s="85" t="str">
        <f t="shared" si="53"/>
        <v/>
      </c>
      <c r="I348" s="85" t="str">
        <f t="shared" si="54"/>
        <v/>
      </c>
      <c r="J348" s="122"/>
      <c r="K348" s="122"/>
      <c r="L348" s="122"/>
      <c r="M348" s="89"/>
      <c r="O348" t="str">
        <f t="shared" si="55"/>
        <v/>
      </c>
      <c r="P348" t="str">
        <f t="shared" si="56"/>
        <v/>
      </c>
      <c r="Q348" t="str">
        <f t="shared" si="57"/>
        <v/>
      </c>
      <c r="R348" t="str">
        <f t="shared" si="58"/>
        <v/>
      </c>
    </row>
    <row r="349" spans="1:18">
      <c r="A349" s="85" t="str">
        <f>IF(C349="","",VLOOKUP('OPĆI DIO'!$C$3,'OPĆI DIO'!$L$6:$U$138,10,FALSE))</f>
        <v/>
      </c>
      <c r="B349" s="85" t="str">
        <f>IF(C349="","",VLOOKUP('OPĆI DIO'!$C$3,'OPĆI DIO'!$L$6:$U$138,9,FALSE))</f>
        <v/>
      </c>
      <c r="C349" s="90"/>
      <c r="D349" s="85" t="str">
        <f t="shared" si="51"/>
        <v/>
      </c>
      <c r="E349" s="90"/>
      <c r="F349" s="85" t="str">
        <f t="shared" si="52"/>
        <v/>
      </c>
      <c r="G349" s="123"/>
      <c r="H349" s="85" t="str">
        <f t="shared" si="53"/>
        <v/>
      </c>
      <c r="I349" s="85" t="str">
        <f t="shared" si="54"/>
        <v/>
      </c>
      <c r="J349" s="122"/>
      <c r="K349" s="122"/>
      <c r="L349" s="122"/>
      <c r="M349" s="89"/>
      <c r="O349" t="str">
        <f t="shared" si="55"/>
        <v/>
      </c>
      <c r="P349" t="str">
        <f t="shared" si="56"/>
        <v/>
      </c>
      <c r="Q349" t="str">
        <f t="shared" si="57"/>
        <v/>
      </c>
      <c r="R349" t="str">
        <f t="shared" si="58"/>
        <v/>
      </c>
    </row>
    <row r="350" spans="1:18">
      <c r="A350" s="85" t="str">
        <f>IF(C350="","",VLOOKUP('OPĆI DIO'!$C$3,'OPĆI DIO'!$L$6:$U$138,10,FALSE))</f>
        <v/>
      </c>
      <c r="B350" s="85" t="str">
        <f>IF(C350="","",VLOOKUP('OPĆI DIO'!$C$3,'OPĆI DIO'!$L$6:$U$138,9,FALSE))</f>
        <v/>
      </c>
      <c r="C350" s="90"/>
      <c r="D350" s="85" t="str">
        <f t="shared" si="51"/>
        <v/>
      </c>
      <c r="E350" s="90"/>
      <c r="F350" s="85" t="str">
        <f t="shared" si="52"/>
        <v/>
      </c>
      <c r="G350" s="123"/>
      <c r="H350" s="85" t="str">
        <f t="shared" si="53"/>
        <v/>
      </c>
      <c r="I350" s="85" t="str">
        <f t="shared" si="54"/>
        <v/>
      </c>
      <c r="J350" s="122"/>
      <c r="K350" s="122"/>
      <c r="L350" s="122"/>
      <c r="M350" s="89"/>
      <c r="O350" t="str">
        <f t="shared" si="55"/>
        <v/>
      </c>
      <c r="P350" t="str">
        <f t="shared" si="56"/>
        <v/>
      </c>
      <c r="Q350" t="str">
        <f t="shared" si="57"/>
        <v/>
      </c>
      <c r="R350" t="str">
        <f t="shared" si="58"/>
        <v/>
      </c>
    </row>
    <row r="351" spans="1:18">
      <c r="A351" s="85" t="str">
        <f>IF(C351="","",VLOOKUP('OPĆI DIO'!$C$3,'OPĆI DIO'!$L$6:$U$138,10,FALSE))</f>
        <v/>
      </c>
      <c r="B351" s="85" t="str">
        <f>IF(C351="","",VLOOKUP('OPĆI DIO'!$C$3,'OPĆI DIO'!$L$6:$U$138,9,FALSE))</f>
        <v/>
      </c>
      <c r="C351" s="90"/>
      <c r="D351" s="85" t="str">
        <f t="shared" si="51"/>
        <v/>
      </c>
      <c r="E351" s="90"/>
      <c r="F351" s="85" t="str">
        <f t="shared" si="52"/>
        <v/>
      </c>
      <c r="G351" s="123"/>
      <c r="H351" s="85" t="str">
        <f t="shared" si="53"/>
        <v/>
      </c>
      <c r="I351" s="85" t="str">
        <f t="shared" si="54"/>
        <v/>
      </c>
      <c r="J351" s="122"/>
      <c r="K351" s="122"/>
      <c r="L351" s="122"/>
      <c r="M351" s="89"/>
      <c r="O351" t="str">
        <f t="shared" si="55"/>
        <v/>
      </c>
      <c r="P351" t="str">
        <f t="shared" si="56"/>
        <v/>
      </c>
      <c r="Q351" t="str">
        <f t="shared" si="57"/>
        <v/>
      </c>
      <c r="R351" t="str">
        <f t="shared" si="58"/>
        <v/>
      </c>
    </row>
    <row r="352" spans="1:18">
      <c r="A352" s="85" t="str">
        <f>IF(C352="","",VLOOKUP('OPĆI DIO'!$C$3,'OPĆI DIO'!$L$6:$U$138,10,FALSE))</f>
        <v/>
      </c>
      <c r="B352" s="85" t="str">
        <f>IF(C352="","",VLOOKUP('OPĆI DIO'!$C$3,'OPĆI DIO'!$L$6:$U$138,9,FALSE))</f>
        <v/>
      </c>
      <c r="C352" s="90"/>
      <c r="D352" s="85" t="str">
        <f t="shared" si="51"/>
        <v/>
      </c>
      <c r="E352" s="90"/>
      <c r="F352" s="85" t="str">
        <f t="shared" si="52"/>
        <v/>
      </c>
      <c r="G352" s="123"/>
      <c r="H352" s="85" t="str">
        <f t="shared" si="53"/>
        <v/>
      </c>
      <c r="I352" s="85" t="str">
        <f t="shared" si="54"/>
        <v/>
      </c>
      <c r="J352" s="122"/>
      <c r="K352" s="122"/>
      <c r="L352" s="122"/>
      <c r="M352" s="89"/>
      <c r="O352" t="str">
        <f t="shared" si="55"/>
        <v/>
      </c>
      <c r="P352" t="str">
        <f t="shared" si="56"/>
        <v/>
      </c>
      <c r="Q352" t="str">
        <f t="shared" si="57"/>
        <v/>
      </c>
      <c r="R352" t="str">
        <f t="shared" si="58"/>
        <v/>
      </c>
    </row>
    <row r="353" spans="1:18">
      <c r="A353" s="85" t="str">
        <f>IF(C353="","",VLOOKUP('OPĆI DIO'!$C$3,'OPĆI DIO'!$L$6:$U$138,10,FALSE))</f>
        <v/>
      </c>
      <c r="B353" s="85" t="str">
        <f>IF(C353="","",VLOOKUP('OPĆI DIO'!$C$3,'OPĆI DIO'!$L$6:$U$138,9,FALSE))</f>
        <v/>
      </c>
      <c r="C353" s="90"/>
      <c r="D353" s="85" t="str">
        <f t="shared" si="51"/>
        <v/>
      </c>
      <c r="E353" s="90"/>
      <c r="F353" s="85" t="str">
        <f t="shared" si="52"/>
        <v/>
      </c>
      <c r="G353" s="123"/>
      <c r="H353" s="85" t="str">
        <f t="shared" si="53"/>
        <v/>
      </c>
      <c r="I353" s="85" t="str">
        <f t="shared" si="54"/>
        <v/>
      </c>
      <c r="J353" s="122"/>
      <c r="K353" s="122"/>
      <c r="L353" s="122"/>
      <c r="M353" s="89"/>
      <c r="O353" t="str">
        <f t="shared" si="55"/>
        <v/>
      </c>
      <c r="P353" t="str">
        <f t="shared" si="56"/>
        <v/>
      </c>
      <c r="Q353" t="str">
        <f t="shared" si="57"/>
        <v/>
      </c>
      <c r="R353" t="str">
        <f t="shared" si="58"/>
        <v/>
      </c>
    </row>
    <row r="354" spans="1:18">
      <c r="A354" s="85" t="str">
        <f>IF(C354="","",VLOOKUP('OPĆI DIO'!$C$3,'OPĆI DIO'!$L$6:$U$138,10,FALSE))</f>
        <v/>
      </c>
      <c r="B354" s="85" t="str">
        <f>IF(C354="","",VLOOKUP('OPĆI DIO'!$C$3,'OPĆI DIO'!$L$6:$U$138,9,FALSE))</f>
        <v/>
      </c>
      <c r="C354" s="90"/>
      <c r="D354" s="85" t="str">
        <f t="shared" si="51"/>
        <v/>
      </c>
      <c r="E354" s="90"/>
      <c r="F354" s="85" t="str">
        <f t="shared" si="52"/>
        <v/>
      </c>
      <c r="G354" s="123"/>
      <c r="H354" s="85" t="str">
        <f t="shared" si="53"/>
        <v/>
      </c>
      <c r="I354" s="85" t="str">
        <f t="shared" si="54"/>
        <v/>
      </c>
      <c r="J354" s="122"/>
      <c r="K354" s="122"/>
      <c r="L354" s="122"/>
      <c r="M354" s="89"/>
      <c r="O354" t="str">
        <f t="shared" si="55"/>
        <v/>
      </c>
      <c r="P354" t="str">
        <f t="shared" si="56"/>
        <v/>
      </c>
      <c r="Q354" t="str">
        <f t="shared" si="57"/>
        <v/>
      </c>
      <c r="R354" t="str">
        <f t="shared" si="58"/>
        <v/>
      </c>
    </row>
    <row r="355" spans="1:18">
      <c r="A355" s="85" t="str">
        <f>IF(C355="","",VLOOKUP('OPĆI DIO'!$C$3,'OPĆI DIO'!$L$6:$U$138,10,FALSE))</f>
        <v/>
      </c>
      <c r="B355" s="85" t="str">
        <f>IF(C355="","",VLOOKUP('OPĆI DIO'!$C$3,'OPĆI DIO'!$L$6:$U$138,9,FALSE))</f>
        <v/>
      </c>
      <c r="C355" s="90"/>
      <c r="D355" s="85" t="str">
        <f t="shared" si="51"/>
        <v/>
      </c>
      <c r="E355" s="90"/>
      <c r="F355" s="85" t="str">
        <f t="shared" si="52"/>
        <v/>
      </c>
      <c r="G355" s="123"/>
      <c r="H355" s="85" t="str">
        <f t="shared" si="53"/>
        <v/>
      </c>
      <c r="I355" s="85" t="str">
        <f t="shared" si="54"/>
        <v/>
      </c>
      <c r="J355" s="122"/>
      <c r="K355" s="122"/>
      <c r="L355" s="122"/>
      <c r="M355" s="89"/>
      <c r="O355" t="str">
        <f t="shared" si="55"/>
        <v/>
      </c>
      <c r="P355" t="str">
        <f t="shared" si="56"/>
        <v/>
      </c>
      <c r="Q355" t="str">
        <f t="shared" si="57"/>
        <v/>
      </c>
      <c r="R355" t="str">
        <f t="shared" si="58"/>
        <v/>
      </c>
    </row>
    <row r="356" spans="1:18">
      <c r="A356" s="85" t="str">
        <f>IF(C356="","",VLOOKUP('OPĆI DIO'!$C$3,'OPĆI DIO'!$L$6:$U$138,10,FALSE))</f>
        <v/>
      </c>
      <c r="B356" s="85" t="str">
        <f>IF(C356="","",VLOOKUP('OPĆI DIO'!$C$3,'OPĆI DIO'!$L$6:$U$138,9,FALSE))</f>
        <v/>
      </c>
      <c r="C356" s="90"/>
      <c r="D356" s="85" t="str">
        <f t="shared" si="51"/>
        <v/>
      </c>
      <c r="E356" s="90"/>
      <c r="F356" s="85" t="str">
        <f t="shared" si="52"/>
        <v/>
      </c>
      <c r="G356" s="123"/>
      <c r="H356" s="85" t="str">
        <f t="shared" si="53"/>
        <v/>
      </c>
      <c r="I356" s="85" t="str">
        <f t="shared" si="54"/>
        <v/>
      </c>
      <c r="J356" s="122"/>
      <c r="K356" s="122"/>
      <c r="L356" s="122"/>
      <c r="M356" s="89"/>
      <c r="O356" t="str">
        <f t="shared" si="55"/>
        <v/>
      </c>
      <c r="P356" t="str">
        <f t="shared" si="56"/>
        <v/>
      </c>
      <c r="Q356" t="str">
        <f t="shared" si="57"/>
        <v/>
      </c>
      <c r="R356" t="str">
        <f t="shared" si="58"/>
        <v/>
      </c>
    </row>
    <row r="357" spans="1:18">
      <c r="A357" s="85" t="str">
        <f>IF(C357="","",VLOOKUP('OPĆI DIO'!$C$3,'OPĆI DIO'!$L$6:$U$138,10,FALSE))</f>
        <v/>
      </c>
      <c r="B357" s="85" t="str">
        <f>IF(C357="","",VLOOKUP('OPĆI DIO'!$C$3,'OPĆI DIO'!$L$6:$U$138,9,FALSE))</f>
        <v/>
      </c>
      <c r="C357" s="90"/>
      <c r="D357" s="85" t="str">
        <f t="shared" si="51"/>
        <v/>
      </c>
      <c r="E357" s="90"/>
      <c r="F357" s="85" t="str">
        <f t="shared" si="52"/>
        <v/>
      </c>
      <c r="G357" s="123"/>
      <c r="H357" s="85" t="str">
        <f t="shared" si="53"/>
        <v/>
      </c>
      <c r="I357" s="85" t="str">
        <f t="shared" si="54"/>
        <v/>
      </c>
      <c r="J357" s="122"/>
      <c r="K357" s="122"/>
      <c r="L357" s="122"/>
      <c r="M357" s="89"/>
      <c r="O357" t="str">
        <f t="shared" si="55"/>
        <v/>
      </c>
      <c r="P357" t="str">
        <f t="shared" si="56"/>
        <v/>
      </c>
      <c r="Q357" t="str">
        <f t="shared" si="57"/>
        <v/>
      </c>
      <c r="R357" t="str">
        <f t="shared" si="58"/>
        <v/>
      </c>
    </row>
    <row r="358" spans="1:18">
      <c r="A358" s="85" t="str">
        <f>IF(C358="","",VLOOKUP('OPĆI DIO'!$C$3,'OPĆI DIO'!$L$6:$U$138,10,FALSE))</f>
        <v/>
      </c>
      <c r="B358" s="85" t="str">
        <f>IF(C358="","",VLOOKUP('OPĆI DIO'!$C$3,'OPĆI DIO'!$L$6:$U$138,9,FALSE))</f>
        <v/>
      </c>
      <c r="C358" s="90"/>
      <c r="D358" s="85" t="str">
        <f t="shared" si="51"/>
        <v/>
      </c>
      <c r="E358" s="90"/>
      <c r="F358" s="85" t="str">
        <f t="shared" si="52"/>
        <v/>
      </c>
      <c r="G358" s="123"/>
      <c r="H358" s="85" t="str">
        <f t="shared" si="53"/>
        <v/>
      </c>
      <c r="I358" s="85" t="str">
        <f t="shared" si="54"/>
        <v/>
      </c>
      <c r="J358" s="122"/>
      <c r="K358" s="122"/>
      <c r="L358" s="122"/>
      <c r="M358" s="89"/>
      <c r="O358" t="str">
        <f t="shared" si="55"/>
        <v/>
      </c>
      <c r="P358" t="str">
        <f t="shared" si="56"/>
        <v/>
      </c>
      <c r="Q358" t="str">
        <f t="shared" si="57"/>
        <v/>
      </c>
      <c r="R358" t="str">
        <f t="shared" si="58"/>
        <v/>
      </c>
    </row>
    <row r="359" spans="1:18">
      <c r="A359" s="85" t="str">
        <f>IF(C359="","",VLOOKUP('OPĆI DIO'!$C$3,'OPĆI DIO'!$L$6:$U$138,10,FALSE))</f>
        <v/>
      </c>
      <c r="B359" s="85" t="str">
        <f>IF(C359="","",VLOOKUP('OPĆI DIO'!$C$3,'OPĆI DIO'!$L$6:$U$138,9,FALSE))</f>
        <v/>
      </c>
      <c r="C359" s="90"/>
      <c r="D359" s="85" t="str">
        <f t="shared" si="51"/>
        <v/>
      </c>
      <c r="E359" s="90"/>
      <c r="F359" s="85" t="str">
        <f t="shared" si="52"/>
        <v/>
      </c>
      <c r="G359" s="123"/>
      <c r="H359" s="85" t="str">
        <f t="shared" si="53"/>
        <v/>
      </c>
      <c r="I359" s="85" t="str">
        <f t="shared" si="54"/>
        <v/>
      </c>
      <c r="J359" s="122"/>
      <c r="K359" s="122"/>
      <c r="L359" s="122"/>
      <c r="M359" s="89"/>
      <c r="O359" t="str">
        <f t="shared" si="55"/>
        <v/>
      </c>
      <c r="P359" t="str">
        <f t="shared" si="56"/>
        <v/>
      </c>
      <c r="Q359" t="str">
        <f t="shared" si="57"/>
        <v/>
      </c>
      <c r="R359" t="str">
        <f t="shared" si="58"/>
        <v/>
      </c>
    </row>
    <row r="360" spans="1:18">
      <c r="A360" s="85" t="str">
        <f>IF(C360="","",VLOOKUP('OPĆI DIO'!$C$3,'OPĆI DIO'!$L$6:$U$138,10,FALSE))</f>
        <v/>
      </c>
      <c r="B360" s="85" t="str">
        <f>IF(C360="","",VLOOKUP('OPĆI DIO'!$C$3,'OPĆI DIO'!$L$6:$U$138,9,FALSE))</f>
        <v/>
      </c>
      <c r="C360" s="90"/>
      <c r="D360" s="85" t="str">
        <f t="shared" si="51"/>
        <v/>
      </c>
      <c r="E360" s="90"/>
      <c r="F360" s="85" t="str">
        <f t="shared" si="52"/>
        <v/>
      </c>
      <c r="G360" s="123"/>
      <c r="H360" s="85" t="str">
        <f t="shared" si="53"/>
        <v/>
      </c>
      <c r="I360" s="85" t="str">
        <f t="shared" si="54"/>
        <v/>
      </c>
      <c r="J360" s="122"/>
      <c r="K360" s="122"/>
      <c r="L360" s="122"/>
      <c r="M360" s="89"/>
      <c r="O360" t="str">
        <f t="shared" si="55"/>
        <v/>
      </c>
      <c r="P360" t="str">
        <f t="shared" si="56"/>
        <v/>
      </c>
      <c r="Q360" t="str">
        <f t="shared" si="57"/>
        <v/>
      </c>
      <c r="R360" t="str">
        <f t="shared" si="58"/>
        <v/>
      </c>
    </row>
    <row r="361" spans="1:18">
      <c r="A361" s="85" t="str">
        <f>IF(C361="","",VLOOKUP('OPĆI DIO'!$C$3,'OPĆI DIO'!$L$6:$U$138,10,FALSE))</f>
        <v/>
      </c>
      <c r="B361" s="85" t="str">
        <f>IF(C361="","",VLOOKUP('OPĆI DIO'!$C$3,'OPĆI DIO'!$L$6:$U$138,9,FALSE))</f>
        <v/>
      </c>
      <c r="C361" s="90"/>
      <c r="D361" s="85" t="str">
        <f t="shared" si="51"/>
        <v/>
      </c>
      <c r="E361" s="90"/>
      <c r="F361" s="85" t="str">
        <f t="shared" si="52"/>
        <v/>
      </c>
      <c r="G361" s="123"/>
      <c r="H361" s="85" t="str">
        <f t="shared" si="53"/>
        <v/>
      </c>
      <c r="I361" s="85" t="str">
        <f t="shared" si="54"/>
        <v/>
      </c>
      <c r="J361" s="122"/>
      <c r="K361" s="122"/>
      <c r="L361" s="122"/>
      <c r="M361" s="89"/>
      <c r="O361" t="str">
        <f t="shared" si="55"/>
        <v/>
      </c>
      <c r="P361" t="str">
        <f t="shared" si="56"/>
        <v/>
      </c>
      <c r="Q361" t="str">
        <f t="shared" si="57"/>
        <v/>
      </c>
      <c r="R361" t="str">
        <f t="shared" si="58"/>
        <v/>
      </c>
    </row>
    <row r="362" spans="1:18">
      <c r="A362" s="85" t="str">
        <f>IF(C362="","",VLOOKUP('OPĆI DIO'!$C$3,'OPĆI DIO'!$L$6:$U$138,10,FALSE))</f>
        <v/>
      </c>
      <c r="B362" s="85" t="str">
        <f>IF(C362="","",VLOOKUP('OPĆI DIO'!$C$3,'OPĆI DIO'!$L$6:$U$138,9,FALSE))</f>
        <v/>
      </c>
      <c r="C362" s="90"/>
      <c r="D362" s="85" t="str">
        <f t="shared" si="51"/>
        <v/>
      </c>
      <c r="E362" s="90"/>
      <c r="F362" s="85" t="str">
        <f t="shared" si="52"/>
        <v/>
      </c>
      <c r="G362" s="123"/>
      <c r="H362" s="85" t="str">
        <f t="shared" si="53"/>
        <v/>
      </c>
      <c r="I362" s="85" t="str">
        <f t="shared" si="54"/>
        <v/>
      </c>
      <c r="J362" s="122"/>
      <c r="K362" s="122"/>
      <c r="L362" s="122"/>
      <c r="M362" s="89"/>
      <c r="O362" t="str">
        <f t="shared" si="55"/>
        <v/>
      </c>
      <c r="P362" t="str">
        <f t="shared" si="56"/>
        <v/>
      </c>
      <c r="Q362" t="str">
        <f t="shared" si="57"/>
        <v/>
      </c>
      <c r="R362" t="str">
        <f t="shared" si="58"/>
        <v/>
      </c>
    </row>
    <row r="363" spans="1:18">
      <c r="A363" s="85" t="str">
        <f>IF(C363="","",VLOOKUP('OPĆI DIO'!$C$3,'OPĆI DIO'!$L$6:$U$138,10,FALSE))</f>
        <v/>
      </c>
      <c r="B363" s="85" t="str">
        <f>IF(C363="","",VLOOKUP('OPĆI DIO'!$C$3,'OPĆI DIO'!$L$6:$U$138,9,FALSE))</f>
        <v/>
      </c>
      <c r="C363" s="90"/>
      <c r="D363" s="85" t="str">
        <f t="shared" si="51"/>
        <v/>
      </c>
      <c r="E363" s="90"/>
      <c r="F363" s="85" t="str">
        <f t="shared" si="52"/>
        <v/>
      </c>
      <c r="G363" s="123"/>
      <c r="H363" s="85" t="str">
        <f t="shared" si="53"/>
        <v/>
      </c>
      <c r="I363" s="85" t="str">
        <f t="shared" si="54"/>
        <v/>
      </c>
      <c r="J363" s="122"/>
      <c r="K363" s="122"/>
      <c r="L363" s="122"/>
      <c r="M363" s="89"/>
      <c r="O363" t="str">
        <f t="shared" si="55"/>
        <v/>
      </c>
      <c r="P363" t="str">
        <f t="shared" si="56"/>
        <v/>
      </c>
      <c r="Q363" t="str">
        <f t="shared" si="57"/>
        <v/>
      </c>
      <c r="R363" t="str">
        <f t="shared" si="58"/>
        <v/>
      </c>
    </row>
    <row r="364" spans="1:18">
      <c r="A364" s="85" t="str">
        <f>IF(C364="","",VLOOKUP('OPĆI DIO'!$C$3,'OPĆI DIO'!$L$6:$U$138,10,FALSE))</f>
        <v/>
      </c>
      <c r="B364" s="85" t="str">
        <f>IF(C364="","",VLOOKUP('OPĆI DIO'!$C$3,'OPĆI DIO'!$L$6:$U$138,9,FALSE))</f>
        <v/>
      </c>
      <c r="C364" s="90"/>
      <c r="D364" s="85" t="str">
        <f t="shared" si="51"/>
        <v/>
      </c>
      <c r="E364" s="90"/>
      <c r="F364" s="85" t="str">
        <f t="shared" si="52"/>
        <v/>
      </c>
      <c r="G364" s="123"/>
      <c r="H364" s="85" t="str">
        <f t="shared" si="53"/>
        <v/>
      </c>
      <c r="I364" s="85" t="str">
        <f t="shared" si="54"/>
        <v/>
      </c>
      <c r="J364" s="122"/>
      <c r="K364" s="122"/>
      <c r="L364" s="122"/>
      <c r="M364" s="89"/>
      <c r="O364" t="str">
        <f t="shared" si="55"/>
        <v/>
      </c>
      <c r="P364" t="str">
        <f t="shared" si="56"/>
        <v/>
      </c>
      <c r="Q364" t="str">
        <f t="shared" si="57"/>
        <v/>
      </c>
      <c r="R364" t="str">
        <f t="shared" si="58"/>
        <v/>
      </c>
    </row>
    <row r="365" spans="1:18">
      <c r="A365" s="85" t="str">
        <f>IF(C365="","",VLOOKUP('OPĆI DIO'!$C$3,'OPĆI DIO'!$L$6:$U$138,10,FALSE))</f>
        <v/>
      </c>
      <c r="B365" s="85" t="str">
        <f>IF(C365="","",VLOOKUP('OPĆI DIO'!$C$3,'OPĆI DIO'!$L$6:$U$138,9,FALSE))</f>
        <v/>
      </c>
      <c r="C365" s="90"/>
      <c r="D365" s="85" t="str">
        <f t="shared" si="51"/>
        <v/>
      </c>
      <c r="E365" s="90"/>
      <c r="F365" s="85" t="str">
        <f t="shared" si="52"/>
        <v/>
      </c>
      <c r="G365" s="123"/>
      <c r="H365" s="85" t="str">
        <f t="shared" si="53"/>
        <v/>
      </c>
      <c r="I365" s="85" t="str">
        <f t="shared" si="54"/>
        <v/>
      </c>
      <c r="J365" s="122"/>
      <c r="K365" s="122"/>
      <c r="L365" s="122"/>
      <c r="M365" s="89"/>
      <c r="O365" t="str">
        <f t="shared" si="55"/>
        <v/>
      </c>
      <c r="P365" t="str">
        <f t="shared" si="56"/>
        <v/>
      </c>
      <c r="Q365" t="str">
        <f t="shared" si="57"/>
        <v/>
      </c>
      <c r="R365" t="str">
        <f t="shared" si="58"/>
        <v/>
      </c>
    </row>
    <row r="366" spans="1:18">
      <c r="A366" s="85" t="str">
        <f>IF(C366="","",VLOOKUP('OPĆI DIO'!$C$3,'OPĆI DIO'!$L$6:$U$138,10,FALSE))</f>
        <v/>
      </c>
      <c r="B366" s="85" t="str">
        <f>IF(C366="","",VLOOKUP('OPĆI DIO'!$C$3,'OPĆI DIO'!$L$6:$U$138,9,FALSE))</f>
        <v/>
      </c>
      <c r="C366" s="90"/>
      <c r="D366" s="85" t="str">
        <f t="shared" si="51"/>
        <v/>
      </c>
      <c r="E366" s="90"/>
      <c r="F366" s="85" t="str">
        <f t="shared" si="52"/>
        <v/>
      </c>
      <c r="G366" s="123"/>
      <c r="H366" s="85" t="str">
        <f t="shared" si="53"/>
        <v/>
      </c>
      <c r="I366" s="85" t="str">
        <f t="shared" si="54"/>
        <v/>
      </c>
      <c r="J366" s="122"/>
      <c r="K366" s="122"/>
      <c r="L366" s="122"/>
      <c r="M366" s="89"/>
      <c r="O366" t="str">
        <f t="shared" si="55"/>
        <v/>
      </c>
      <c r="P366" t="str">
        <f t="shared" si="56"/>
        <v/>
      </c>
      <c r="Q366" t="str">
        <f t="shared" si="57"/>
        <v/>
      </c>
      <c r="R366" t="str">
        <f t="shared" si="58"/>
        <v/>
      </c>
    </row>
    <row r="367" spans="1:18">
      <c r="A367" s="85" t="str">
        <f>IF(C367="","",VLOOKUP('OPĆI DIO'!$C$3,'OPĆI DIO'!$L$6:$U$138,10,FALSE))</f>
        <v/>
      </c>
      <c r="B367" s="85" t="str">
        <f>IF(C367="","",VLOOKUP('OPĆI DIO'!$C$3,'OPĆI DIO'!$L$6:$U$138,9,FALSE))</f>
        <v/>
      </c>
      <c r="C367" s="90"/>
      <c r="D367" s="85" t="str">
        <f t="shared" si="51"/>
        <v/>
      </c>
      <c r="E367" s="90"/>
      <c r="F367" s="85" t="str">
        <f t="shared" si="52"/>
        <v/>
      </c>
      <c r="G367" s="123"/>
      <c r="H367" s="85" t="str">
        <f t="shared" si="53"/>
        <v/>
      </c>
      <c r="I367" s="85" t="str">
        <f t="shared" si="54"/>
        <v/>
      </c>
      <c r="J367" s="122"/>
      <c r="K367" s="122"/>
      <c r="L367" s="122"/>
      <c r="M367" s="89"/>
      <c r="O367" t="str">
        <f t="shared" si="55"/>
        <v/>
      </c>
      <c r="P367" t="str">
        <f t="shared" si="56"/>
        <v/>
      </c>
      <c r="Q367" t="str">
        <f t="shared" si="57"/>
        <v/>
      </c>
      <c r="R367" t="str">
        <f t="shared" si="58"/>
        <v/>
      </c>
    </row>
    <row r="368" spans="1:18">
      <c r="A368" s="85" t="str">
        <f>IF(C368="","",VLOOKUP('OPĆI DIO'!$C$3,'OPĆI DIO'!$L$6:$U$138,10,FALSE))</f>
        <v/>
      </c>
      <c r="B368" s="85" t="str">
        <f>IF(C368="","",VLOOKUP('OPĆI DIO'!$C$3,'OPĆI DIO'!$L$6:$U$138,9,FALSE))</f>
        <v/>
      </c>
      <c r="C368" s="90"/>
      <c r="D368" s="85" t="str">
        <f t="shared" si="51"/>
        <v/>
      </c>
      <c r="E368" s="90"/>
      <c r="F368" s="85" t="str">
        <f t="shared" si="52"/>
        <v/>
      </c>
      <c r="G368" s="123"/>
      <c r="H368" s="85" t="str">
        <f t="shared" si="53"/>
        <v/>
      </c>
      <c r="I368" s="85" t="str">
        <f t="shared" si="54"/>
        <v/>
      </c>
      <c r="J368" s="122"/>
      <c r="K368" s="122"/>
      <c r="L368" s="122"/>
      <c r="M368" s="89"/>
      <c r="O368" t="str">
        <f t="shared" si="55"/>
        <v/>
      </c>
      <c r="P368" t="str">
        <f t="shared" si="56"/>
        <v/>
      </c>
      <c r="Q368" t="str">
        <f t="shared" si="57"/>
        <v/>
      </c>
      <c r="R368" t="str">
        <f t="shared" si="58"/>
        <v/>
      </c>
    </row>
    <row r="369" spans="1:18">
      <c r="A369" s="85" t="str">
        <f>IF(C369="","",VLOOKUP('OPĆI DIO'!$C$3,'OPĆI DIO'!$L$6:$U$138,10,FALSE))</f>
        <v/>
      </c>
      <c r="B369" s="85" t="str">
        <f>IF(C369="","",VLOOKUP('OPĆI DIO'!$C$3,'OPĆI DIO'!$L$6:$U$138,9,FALSE))</f>
        <v/>
      </c>
      <c r="C369" s="90"/>
      <c r="D369" s="85" t="str">
        <f t="shared" si="51"/>
        <v/>
      </c>
      <c r="E369" s="90"/>
      <c r="F369" s="85" t="str">
        <f t="shared" si="52"/>
        <v/>
      </c>
      <c r="G369" s="123"/>
      <c r="H369" s="85" t="str">
        <f t="shared" si="53"/>
        <v/>
      </c>
      <c r="I369" s="85" t="str">
        <f t="shared" si="54"/>
        <v/>
      </c>
      <c r="J369" s="122"/>
      <c r="K369" s="122"/>
      <c r="L369" s="122"/>
      <c r="M369" s="89"/>
      <c r="O369" t="str">
        <f t="shared" si="55"/>
        <v/>
      </c>
      <c r="P369" t="str">
        <f t="shared" si="56"/>
        <v/>
      </c>
      <c r="Q369" t="str">
        <f t="shared" si="57"/>
        <v/>
      </c>
      <c r="R369" t="str">
        <f t="shared" si="58"/>
        <v/>
      </c>
    </row>
    <row r="370" spans="1:18">
      <c r="A370" s="85" t="str">
        <f>IF(C370="","",VLOOKUP('OPĆI DIO'!$C$3,'OPĆI DIO'!$L$6:$U$138,10,FALSE))</f>
        <v/>
      </c>
      <c r="B370" s="85" t="str">
        <f>IF(C370="","",VLOOKUP('OPĆI DIO'!$C$3,'OPĆI DIO'!$L$6:$U$138,9,FALSE))</f>
        <v/>
      </c>
      <c r="C370" s="90"/>
      <c r="D370" s="85" t="str">
        <f t="shared" si="51"/>
        <v/>
      </c>
      <c r="E370" s="90"/>
      <c r="F370" s="85" t="str">
        <f t="shared" si="52"/>
        <v/>
      </c>
      <c r="G370" s="123"/>
      <c r="H370" s="85" t="str">
        <f t="shared" si="53"/>
        <v/>
      </c>
      <c r="I370" s="85" t="str">
        <f t="shared" si="54"/>
        <v/>
      </c>
      <c r="J370" s="122"/>
      <c r="K370" s="122"/>
      <c r="L370" s="122"/>
      <c r="M370" s="89"/>
      <c r="O370" t="str">
        <f t="shared" si="55"/>
        <v/>
      </c>
      <c r="P370" t="str">
        <f t="shared" si="56"/>
        <v/>
      </c>
      <c r="Q370" t="str">
        <f t="shared" si="57"/>
        <v/>
      </c>
      <c r="R370" t="str">
        <f t="shared" si="58"/>
        <v/>
      </c>
    </row>
    <row r="371" spans="1:18">
      <c r="A371" s="85" t="str">
        <f>IF(C371="","",VLOOKUP('OPĆI DIO'!$C$3,'OPĆI DIO'!$L$6:$U$138,10,FALSE))</f>
        <v/>
      </c>
      <c r="B371" s="85" t="str">
        <f>IF(C371="","",VLOOKUP('OPĆI DIO'!$C$3,'OPĆI DIO'!$L$6:$U$138,9,FALSE))</f>
        <v/>
      </c>
      <c r="C371" s="90"/>
      <c r="D371" s="85" t="str">
        <f t="shared" si="51"/>
        <v/>
      </c>
      <c r="E371" s="90"/>
      <c r="F371" s="85" t="str">
        <f t="shared" si="52"/>
        <v/>
      </c>
      <c r="G371" s="123"/>
      <c r="H371" s="85" t="str">
        <f t="shared" si="53"/>
        <v/>
      </c>
      <c r="I371" s="85" t="str">
        <f t="shared" si="54"/>
        <v/>
      </c>
      <c r="J371" s="122"/>
      <c r="K371" s="122"/>
      <c r="L371" s="122"/>
      <c r="M371" s="89"/>
      <c r="O371" t="str">
        <f t="shared" si="55"/>
        <v/>
      </c>
      <c r="P371" t="str">
        <f t="shared" si="56"/>
        <v/>
      </c>
      <c r="Q371" t="str">
        <f t="shared" si="57"/>
        <v/>
      </c>
      <c r="R371" t="str">
        <f t="shared" si="58"/>
        <v/>
      </c>
    </row>
    <row r="372" spans="1:18">
      <c r="A372" s="85" t="str">
        <f>IF(C372="","",VLOOKUP('OPĆI DIO'!$C$3,'OPĆI DIO'!$L$6:$U$138,10,FALSE))</f>
        <v/>
      </c>
      <c r="B372" s="85" t="str">
        <f>IF(C372="","",VLOOKUP('OPĆI DIO'!$C$3,'OPĆI DIO'!$L$6:$U$138,9,FALSE))</f>
        <v/>
      </c>
      <c r="C372" s="90"/>
      <c r="D372" s="85" t="str">
        <f t="shared" si="51"/>
        <v/>
      </c>
      <c r="E372" s="90"/>
      <c r="F372" s="85" t="str">
        <f t="shared" si="52"/>
        <v/>
      </c>
      <c r="G372" s="123"/>
      <c r="H372" s="85" t="str">
        <f t="shared" si="53"/>
        <v/>
      </c>
      <c r="I372" s="85" t="str">
        <f t="shared" si="54"/>
        <v/>
      </c>
      <c r="J372" s="122"/>
      <c r="K372" s="122"/>
      <c r="L372" s="122"/>
      <c r="M372" s="89"/>
      <c r="O372" t="str">
        <f t="shared" si="55"/>
        <v/>
      </c>
      <c r="P372" t="str">
        <f t="shared" si="56"/>
        <v/>
      </c>
      <c r="Q372" t="str">
        <f t="shared" si="57"/>
        <v/>
      </c>
      <c r="R372" t="str">
        <f t="shared" si="58"/>
        <v/>
      </c>
    </row>
    <row r="373" spans="1:18">
      <c r="A373" s="85" t="str">
        <f>IF(C373="","",VLOOKUP('OPĆI DIO'!$C$3,'OPĆI DIO'!$L$6:$U$138,10,FALSE))</f>
        <v/>
      </c>
      <c r="B373" s="85" t="str">
        <f>IF(C373="","",VLOOKUP('OPĆI DIO'!$C$3,'OPĆI DIO'!$L$6:$U$138,9,FALSE))</f>
        <v/>
      </c>
      <c r="C373" s="90"/>
      <c r="D373" s="85" t="str">
        <f t="shared" si="51"/>
        <v/>
      </c>
      <c r="E373" s="90"/>
      <c r="F373" s="85" t="str">
        <f t="shared" si="52"/>
        <v/>
      </c>
      <c r="G373" s="123"/>
      <c r="H373" s="85" t="str">
        <f t="shared" si="53"/>
        <v/>
      </c>
      <c r="I373" s="85" t="str">
        <f t="shared" si="54"/>
        <v/>
      </c>
      <c r="J373" s="122"/>
      <c r="K373" s="122"/>
      <c r="L373" s="122"/>
      <c r="M373" s="89"/>
      <c r="O373" t="str">
        <f t="shared" si="55"/>
        <v/>
      </c>
      <c r="P373" t="str">
        <f t="shared" si="56"/>
        <v/>
      </c>
      <c r="Q373" t="str">
        <f t="shared" si="57"/>
        <v/>
      </c>
      <c r="R373" t="str">
        <f t="shared" si="58"/>
        <v/>
      </c>
    </row>
    <row r="374" spans="1:18">
      <c r="A374" s="85" t="str">
        <f>IF(C374="","",VLOOKUP('OPĆI DIO'!$C$3,'OPĆI DIO'!$L$6:$U$138,10,FALSE))</f>
        <v/>
      </c>
      <c r="B374" s="85" t="str">
        <f>IF(C374="","",VLOOKUP('OPĆI DIO'!$C$3,'OPĆI DIO'!$L$6:$U$138,9,FALSE))</f>
        <v/>
      </c>
      <c r="C374" s="90"/>
      <c r="D374" s="85" t="str">
        <f t="shared" si="51"/>
        <v/>
      </c>
      <c r="E374" s="90"/>
      <c r="F374" s="85" t="str">
        <f t="shared" si="52"/>
        <v/>
      </c>
      <c r="G374" s="123"/>
      <c r="H374" s="85" t="str">
        <f t="shared" si="53"/>
        <v/>
      </c>
      <c r="I374" s="85" t="str">
        <f t="shared" si="54"/>
        <v/>
      </c>
      <c r="J374" s="122"/>
      <c r="K374" s="122"/>
      <c r="L374" s="122"/>
      <c r="M374" s="89"/>
      <c r="O374" t="str">
        <f t="shared" si="55"/>
        <v/>
      </c>
      <c r="P374" t="str">
        <f t="shared" si="56"/>
        <v/>
      </c>
      <c r="Q374" t="str">
        <f t="shared" si="57"/>
        <v/>
      </c>
      <c r="R374" t="str">
        <f t="shared" si="58"/>
        <v/>
      </c>
    </row>
    <row r="375" spans="1:18">
      <c r="A375" s="85" t="str">
        <f>IF(C375="","",VLOOKUP('OPĆI DIO'!$C$3,'OPĆI DIO'!$L$6:$U$138,10,FALSE))</f>
        <v/>
      </c>
      <c r="B375" s="85" t="str">
        <f>IF(C375="","",VLOOKUP('OPĆI DIO'!$C$3,'OPĆI DIO'!$L$6:$U$138,9,FALSE))</f>
        <v/>
      </c>
      <c r="C375" s="90"/>
      <c r="D375" s="85" t="str">
        <f t="shared" si="51"/>
        <v/>
      </c>
      <c r="E375" s="90"/>
      <c r="F375" s="85" t="str">
        <f t="shared" si="52"/>
        <v/>
      </c>
      <c r="G375" s="123"/>
      <c r="H375" s="85" t="str">
        <f t="shared" si="53"/>
        <v/>
      </c>
      <c r="I375" s="85" t="str">
        <f t="shared" si="54"/>
        <v/>
      </c>
      <c r="J375" s="122"/>
      <c r="K375" s="122"/>
      <c r="L375" s="122"/>
      <c r="M375" s="89"/>
      <c r="O375" t="str">
        <f t="shared" si="55"/>
        <v/>
      </c>
      <c r="P375" t="str">
        <f t="shared" si="56"/>
        <v/>
      </c>
      <c r="Q375" t="str">
        <f t="shared" si="57"/>
        <v/>
      </c>
      <c r="R375" t="str">
        <f t="shared" si="58"/>
        <v/>
      </c>
    </row>
    <row r="376" spans="1:18">
      <c r="A376" s="85" t="str">
        <f>IF(C376="","",VLOOKUP('OPĆI DIO'!$C$3,'OPĆI DIO'!$L$6:$U$138,10,FALSE))</f>
        <v/>
      </c>
      <c r="B376" s="85" t="str">
        <f>IF(C376="","",VLOOKUP('OPĆI DIO'!$C$3,'OPĆI DIO'!$L$6:$U$138,9,FALSE))</f>
        <v/>
      </c>
      <c r="C376" s="90"/>
      <c r="D376" s="85" t="str">
        <f t="shared" si="51"/>
        <v/>
      </c>
      <c r="E376" s="90"/>
      <c r="F376" s="85" t="str">
        <f t="shared" si="52"/>
        <v/>
      </c>
      <c r="G376" s="123"/>
      <c r="H376" s="85" t="str">
        <f t="shared" si="53"/>
        <v/>
      </c>
      <c r="I376" s="85" t="str">
        <f t="shared" si="54"/>
        <v/>
      </c>
      <c r="J376" s="122"/>
      <c r="K376" s="122"/>
      <c r="L376" s="122"/>
      <c r="M376" s="89"/>
      <c r="O376" t="str">
        <f t="shared" si="55"/>
        <v/>
      </c>
      <c r="P376" t="str">
        <f t="shared" si="56"/>
        <v/>
      </c>
      <c r="Q376" t="str">
        <f t="shared" si="57"/>
        <v/>
      </c>
      <c r="R376" t="str">
        <f t="shared" si="58"/>
        <v/>
      </c>
    </row>
    <row r="377" spans="1:18">
      <c r="A377" s="85" t="str">
        <f>IF(C377="","",VLOOKUP('OPĆI DIO'!$C$3,'OPĆI DIO'!$L$6:$U$138,10,FALSE))</f>
        <v/>
      </c>
      <c r="B377" s="85" t="str">
        <f>IF(C377="","",VLOOKUP('OPĆI DIO'!$C$3,'OPĆI DIO'!$L$6:$U$138,9,FALSE))</f>
        <v/>
      </c>
      <c r="C377" s="90"/>
      <c r="D377" s="85" t="str">
        <f t="shared" si="51"/>
        <v/>
      </c>
      <c r="E377" s="90"/>
      <c r="F377" s="85" t="str">
        <f t="shared" si="52"/>
        <v/>
      </c>
      <c r="G377" s="123"/>
      <c r="H377" s="85" t="str">
        <f t="shared" si="53"/>
        <v/>
      </c>
      <c r="I377" s="85" t="str">
        <f t="shared" si="54"/>
        <v/>
      </c>
      <c r="J377" s="122"/>
      <c r="K377" s="122"/>
      <c r="L377" s="122"/>
      <c r="M377" s="89"/>
      <c r="O377" t="str">
        <f t="shared" si="55"/>
        <v/>
      </c>
      <c r="P377" t="str">
        <f t="shared" si="56"/>
        <v/>
      </c>
      <c r="Q377" t="str">
        <f t="shared" si="57"/>
        <v/>
      </c>
      <c r="R377" t="str">
        <f t="shared" si="58"/>
        <v/>
      </c>
    </row>
    <row r="378" spans="1:18">
      <c r="A378" s="85" t="str">
        <f>IF(C378="","",VLOOKUP('OPĆI DIO'!$C$3,'OPĆI DIO'!$L$6:$U$138,10,FALSE))</f>
        <v/>
      </c>
      <c r="B378" s="85" t="str">
        <f>IF(C378="","",VLOOKUP('OPĆI DIO'!$C$3,'OPĆI DIO'!$L$6:$U$138,9,FALSE))</f>
        <v/>
      </c>
      <c r="C378" s="90"/>
      <c r="D378" s="85" t="str">
        <f t="shared" si="51"/>
        <v/>
      </c>
      <c r="E378" s="90"/>
      <c r="F378" s="85" t="str">
        <f t="shared" si="52"/>
        <v/>
      </c>
      <c r="G378" s="123"/>
      <c r="H378" s="85" t="str">
        <f t="shared" si="53"/>
        <v/>
      </c>
      <c r="I378" s="85" t="str">
        <f t="shared" si="54"/>
        <v/>
      </c>
      <c r="J378" s="122"/>
      <c r="K378" s="122"/>
      <c r="L378" s="122"/>
      <c r="M378" s="89"/>
      <c r="O378" t="str">
        <f t="shared" si="55"/>
        <v/>
      </c>
      <c r="P378" t="str">
        <f t="shared" si="56"/>
        <v/>
      </c>
      <c r="Q378" t="str">
        <f t="shared" si="57"/>
        <v/>
      </c>
      <c r="R378" t="str">
        <f t="shared" si="58"/>
        <v/>
      </c>
    </row>
    <row r="379" spans="1:18">
      <c r="A379" s="85" t="str">
        <f>IF(C379="","",VLOOKUP('OPĆI DIO'!$C$3,'OPĆI DIO'!$L$6:$U$138,10,FALSE))</f>
        <v/>
      </c>
      <c r="B379" s="85" t="str">
        <f>IF(C379="","",VLOOKUP('OPĆI DIO'!$C$3,'OPĆI DIO'!$L$6:$U$138,9,FALSE))</f>
        <v/>
      </c>
      <c r="C379" s="90"/>
      <c r="D379" s="85" t="str">
        <f t="shared" si="51"/>
        <v/>
      </c>
      <c r="E379" s="90"/>
      <c r="F379" s="85" t="str">
        <f t="shared" si="52"/>
        <v/>
      </c>
      <c r="G379" s="123"/>
      <c r="H379" s="85" t="str">
        <f t="shared" si="53"/>
        <v/>
      </c>
      <c r="I379" s="85" t="str">
        <f t="shared" si="54"/>
        <v/>
      </c>
      <c r="J379" s="122"/>
      <c r="K379" s="122"/>
      <c r="L379" s="122"/>
      <c r="M379" s="89"/>
      <c r="O379" t="str">
        <f t="shared" si="55"/>
        <v/>
      </c>
      <c r="P379" t="str">
        <f t="shared" si="56"/>
        <v/>
      </c>
      <c r="Q379" t="str">
        <f t="shared" si="57"/>
        <v/>
      </c>
      <c r="R379" t="str">
        <f t="shared" si="58"/>
        <v/>
      </c>
    </row>
    <row r="380" spans="1:18">
      <c r="A380" s="85" t="str">
        <f>IF(C380="","",VLOOKUP('OPĆI DIO'!$C$3,'OPĆI DIO'!$L$6:$U$138,10,FALSE))</f>
        <v/>
      </c>
      <c r="B380" s="85" t="str">
        <f>IF(C380="","",VLOOKUP('OPĆI DIO'!$C$3,'OPĆI DIO'!$L$6:$U$138,9,FALSE))</f>
        <v/>
      </c>
      <c r="C380" s="90"/>
      <c r="D380" s="85" t="str">
        <f t="shared" si="51"/>
        <v/>
      </c>
      <c r="E380" s="90"/>
      <c r="F380" s="85" t="str">
        <f t="shared" si="52"/>
        <v/>
      </c>
      <c r="G380" s="123"/>
      <c r="H380" s="85" t="str">
        <f t="shared" si="53"/>
        <v/>
      </c>
      <c r="I380" s="85" t="str">
        <f t="shared" si="54"/>
        <v/>
      </c>
      <c r="J380" s="122"/>
      <c r="K380" s="122"/>
      <c r="L380" s="122"/>
      <c r="M380" s="89"/>
      <c r="O380" t="str">
        <f t="shared" si="55"/>
        <v/>
      </c>
      <c r="P380" t="str">
        <f t="shared" si="56"/>
        <v/>
      </c>
      <c r="Q380" t="str">
        <f t="shared" si="57"/>
        <v/>
      </c>
      <c r="R380" t="str">
        <f t="shared" si="58"/>
        <v/>
      </c>
    </row>
    <row r="381" spans="1:18">
      <c r="A381" s="85" t="str">
        <f>IF(C381="","",VLOOKUP('OPĆI DIO'!$C$3,'OPĆI DIO'!$L$6:$U$138,10,FALSE))</f>
        <v/>
      </c>
      <c r="B381" s="85" t="str">
        <f>IF(C381="","",VLOOKUP('OPĆI DIO'!$C$3,'OPĆI DIO'!$L$6:$U$138,9,FALSE))</f>
        <v/>
      </c>
      <c r="C381" s="90"/>
      <c r="D381" s="85" t="str">
        <f t="shared" si="51"/>
        <v/>
      </c>
      <c r="E381" s="90"/>
      <c r="F381" s="85" t="str">
        <f t="shared" si="52"/>
        <v/>
      </c>
      <c r="G381" s="123"/>
      <c r="H381" s="85" t="str">
        <f t="shared" si="53"/>
        <v/>
      </c>
      <c r="I381" s="85" t="str">
        <f t="shared" si="54"/>
        <v/>
      </c>
      <c r="J381" s="122"/>
      <c r="K381" s="122"/>
      <c r="L381" s="122"/>
      <c r="M381" s="89"/>
      <c r="O381" t="str">
        <f t="shared" si="55"/>
        <v/>
      </c>
      <c r="P381" t="str">
        <f t="shared" si="56"/>
        <v/>
      </c>
      <c r="Q381" t="str">
        <f t="shared" si="57"/>
        <v/>
      </c>
      <c r="R381" t="str">
        <f t="shared" si="58"/>
        <v/>
      </c>
    </row>
    <row r="382" spans="1:18">
      <c r="A382" s="85" t="str">
        <f>IF(C382="","",VLOOKUP('OPĆI DIO'!$C$3,'OPĆI DIO'!$L$6:$U$138,10,FALSE))</f>
        <v/>
      </c>
      <c r="B382" s="85" t="str">
        <f>IF(C382="","",VLOOKUP('OPĆI DIO'!$C$3,'OPĆI DIO'!$L$6:$U$138,9,FALSE))</f>
        <v/>
      </c>
      <c r="C382" s="90"/>
      <c r="D382" s="85" t="str">
        <f t="shared" si="51"/>
        <v/>
      </c>
      <c r="E382" s="90"/>
      <c r="F382" s="85" t="str">
        <f t="shared" si="52"/>
        <v/>
      </c>
      <c r="G382" s="123"/>
      <c r="H382" s="85" t="str">
        <f t="shared" si="53"/>
        <v/>
      </c>
      <c r="I382" s="85" t="str">
        <f t="shared" si="54"/>
        <v/>
      </c>
      <c r="J382" s="122"/>
      <c r="K382" s="122"/>
      <c r="L382" s="122"/>
      <c r="M382" s="89"/>
      <c r="O382" t="str">
        <f t="shared" si="55"/>
        <v/>
      </c>
      <c r="P382" t="str">
        <f t="shared" si="56"/>
        <v/>
      </c>
      <c r="Q382" t="str">
        <f t="shared" si="57"/>
        <v/>
      </c>
      <c r="R382" t="str">
        <f t="shared" si="58"/>
        <v/>
      </c>
    </row>
    <row r="383" spans="1:18">
      <c r="A383" s="85" t="str">
        <f>IF(C383="","",VLOOKUP('OPĆI DIO'!$C$3,'OPĆI DIO'!$L$6:$U$138,10,FALSE))</f>
        <v/>
      </c>
      <c r="B383" s="85" t="str">
        <f>IF(C383="","",VLOOKUP('OPĆI DIO'!$C$3,'OPĆI DIO'!$L$6:$U$138,9,FALSE))</f>
        <v/>
      </c>
      <c r="C383" s="90"/>
      <c r="D383" s="85" t="str">
        <f t="shared" si="51"/>
        <v/>
      </c>
      <c r="E383" s="90"/>
      <c r="F383" s="85" t="str">
        <f t="shared" si="52"/>
        <v/>
      </c>
      <c r="G383" s="123"/>
      <c r="H383" s="85" t="str">
        <f t="shared" si="53"/>
        <v/>
      </c>
      <c r="I383" s="85" t="str">
        <f t="shared" si="54"/>
        <v/>
      </c>
      <c r="J383" s="122"/>
      <c r="K383" s="122"/>
      <c r="L383" s="122"/>
      <c r="M383" s="89"/>
      <c r="O383" t="str">
        <f t="shared" si="55"/>
        <v/>
      </c>
      <c r="P383" t="str">
        <f t="shared" si="56"/>
        <v/>
      </c>
      <c r="Q383" t="str">
        <f t="shared" si="57"/>
        <v/>
      </c>
      <c r="R383" t="str">
        <f t="shared" si="58"/>
        <v/>
      </c>
    </row>
    <row r="384" spans="1:18">
      <c r="A384" s="85" t="str">
        <f>IF(C384="","",VLOOKUP('OPĆI DIO'!$C$3,'OPĆI DIO'!$L$6:$U$138,10,FALSE))</f>
        <v/>
      </c>
      <c r="B384" s="85" t="str">
        <f>IF(C384="","",VLOOKUP('OPĆI DIO'!$C$3,'OPĆI DIO'!$L$6:$U$138,9,FALSE))</f>
        <v/>
      </c>
      <c r="C384" s="90"/>
      <c r="D384" s="85" t="str">
        <f t="shared" si="51"/>
        <v/>
      </c>
      <c r="E384" s="90"/>
      <c r="F384" s="85" t="str">
        <f t="shared" si="52"/>
        <v/>
      </c>
      <c r="G384" s="123"/>
      <c r="H384" s="85" t="str">
        <f t="shared" si="53"/>
        <v/>
      </c>
      <c r="I384" s="85" t="str">
        <f t="shared" si="54"/>
        <v/>
      </c>
      <c r="J384" s="122"/>
      <c r="K384" s="122"/>
      <c r="L384" s="122"/>
      <c r="M384" s="89"/>
      <c r="O384" t="str">
        <f t="shared" si="55"/>
        <v/>
      </c>
      <c r="P384" t="str">
        <f t="shared" si="56"/>
        <v/>
      </c>
      <c r="Q384" t="str">
        <f t="shared" si="57"/>
        <v/>
      </c>
      <c r="R384" t="str">
        <f t="shared" si="58"/>
        <v/>
      </c>
    </row>
    <row r="385" spans="1:18">
      <c r="A385" s="85" t="str">
        <f>IF(C385="","",VLOOKUP('OPĆI DIO'!$C$3,'OPĆI DIO'!$L$6:$U$138,10,FALSE))</f>
        <v/>
      </c>
      <c r="B385" s="85" t="str">
        <f>IF(C385="","",VLOOKUP('OPĆI DIO'!$C$3,'OPĆI DIO'!$L$6:$U$138,9,FALSE))</f>
        <v/>
      </c>
      <c r="C385" s="90"/>
      <c r="D385" s="85" t="str">
        <f t="shared" si="51"/>
        <v/>
      </c>
      <c r="E385" s="90"/>
      <c r="F385" s="85" t="str">
        <f t="shared" si="52"/>
        <v/>
      </c>
      <c r="G385" s="123"/>
      <c r="H385" s="85" t="str">
        <f t="shared" si="53"/>
        <v/>
      </c>
      <c r="I385" s="85" t="str">
        <f t="shared" si="54"/>
        <v/>
      </c>
      <c r="J385" s="122"/>
      <c r="K385" s="122"/>
      <c r="L385" s="122"/>
      <c r="M385" s="89"/>
      <c r="O385" t="str">
        <f t="shared" si="55"/>
        <v/>
      </c>
      <c r="P385" t="str">
        <f t="shared" si="56"/>
        <v/>
      </c>
      <c r="Q385" t="str">
        <f t="shared" si="57"/>
        <v/>
      </c>
      <c r="R385" t="str">
        <f t="shared" si="58"/>
        <v/>
      </c>
    </row>
    <row r="386" spans="1:18">
      <c r="A386" s="85" t="str">
        <f>IF(C386="","",VLOOKUP('OPĆI DIO'!$C$3,'OPĆI DIO'!$L$6:$U$138,10,FALSE))</f>
        <v/>
      </c>
      <c r="B386" s="85" t="str">
        <f>IF(C386="","",VLOOKUP('OPĆI DIO'!$C$3,'OPĆI DIO'!$L$6:$U$138,9,FALSE))</f>
        <v/>
      </c>
      <c r="C386" s="90"/>
      <c r="D386" s="85" t="str">
        <f t="shared" si="51"/>
        <v/>
      </c>
      <c r="E386" s="90"/>
      <c r="F386" s="85" t="str">
        <f t="shared" si="52"/>
        <v/>
      </c>
      <c r="G386" s="123"/>
      <c r="H386" s="85" t="str">
        <f t="shared" si="53"/>
        <v/>
      </c>
      <c r="I386" s="85" t="str">
        <f t="shared" si="54"/>
        <v/>
      </c>
      <c r="J386" s="122"/>
      <c r="K386" s="122"/>
      <c r="L386" s="122"/>
      <c r="M386" s="89"/>
      <c r="O386" t="str">
        <f t="shared" si="55"/>
        <v/>
      </c>
      <c r="P386" t="str">
        <f t="shared" si="56"/>
        <v/>
      </c>
      <c r="Q386" t="str">
        <f t="shared" si="57"/>
        <v/>
      </c>
      <c r="R386" t="str">
        <f t="shared" si="58"/>
        <v/>
      </c>
    </row>
    <row r="387" spans="1:18">
      <c r="A387" s="85" t="str">
        <f>IF(C387="","",VLOOKUP('OPĆI DIO'!$C$3,'OPĆI DIO'!$L$6:$U$138,10,FALSE))</f>
        <v/>
      </c>
      <c r="B387" s="85" t="str">
        <f>IF(C387="","",VLOOKUP('OPĆI DIO'!$C$3,'OPĆI DIO'!$L$6:$U$138,9,FALSE))</f>
        <v/>
      </c>
      <c r="C387" s="90"/>
      <c r="D387" s="85" t="str">
        <f t="shared" ref="D387:D450" si="59">IFERROR(VLOOKUP(C387,$S$6:$T$24,2,FALSE),"")</f>
        <v/>
      </c>
      <c r="E387" s="90"/>
      <c r="F387" s="85" t="str">
        <f t="shared" si="52"/>
        <v/>
      </c>
      <c r="G387" s="123"/>
      <c r="H387" s="85" t="str">
        <f t="shared" si="53"/>
        <v/>
      </c>
      <c r="I387" s="85" t="str">
        <f t="shared" si="54"/>
        <v/>
      </c>
      <c r="J387" s="122"/>
      <c r="K387" s="122"/>
      <c r="L387" s="122"/>
      <c r="M387" s="89"/>
      <c r="O387" t="str">
        <f t="shared" si="55"/>
        <v/>
      </c>
      <c r="P387" t="str">
        <f t="shared" si="56"/>
        <v/>
      </c>
      <c r="Q387" t="str">
        <f t="shared" si="57"/>
        <v/>
      </c>
      <c r="R387" t="str">
        <f t="shared" si="58"/>
        <v/>
      </c>
    </row>
    <row r="388" spans="1:18">
      <c r="A388" s="85" t="str">
        <f>IF(C388="","",VLOOKUP('OPĆI DIO'!$C$3,'OPĆI DIO'!$L$6:$U$138,10,FALSE))</f>
        <v/>
      </c>
      <c r="B388" s="85" t="str">
        <f>IF(C388="","",VLOOKUP('OPĆI DIO'!$C$3,'OPĆI DIO'!$L$6:$U$138,9,FALSE))</f>
        <v/>
      </c>
      <c r="C388" s="90"/>
      <c r="D388" s="85" t="str">
        <f t="shared" si="59"/>
        <v/>
      </c>
      <c r="E388" s="90"/>
      <c r="F388" s="85" t="str">
        <f t="shared" ref="F388:F451" si="60">IFERROR(VLOOKUP(E388,$V$5:$X$129,2,FALSE),"")</f>
        <v/>
      </c>
      <c r="G388" s="123"/>
      <c r="H388" s="85" t="str">
        <f t="shared" ref="H388:H451" si="61">IFERROR(VLOOKUP(G388,$AB$6:$AC$327,2,FALSE),"")</f>
        <v/>
      </c>
      <c r="I388" s="85" t="str">
        <f t="shared" ref="I388:I451" si="62">IFERROR(VLOOKUP(G388,$AB$6:$AF$327,3,FALSE),"")</f>
        <v/>
      </c>
      <c r="J388" s="122"/>
      <c r="K388" s="122"/>
      <c r="L388" s="122"/>
      <c r="M388" s="89"/>
      <c r="O388" t="str">
        <f t="shared" ref="O388:O451" si="63">LEFT(E388,3)</f>
        <v/>
      </c>
      <c r="P388" t="str">
        <f t="shared" ref="P388:P451" si="64">LEFT(E388,2)</f>
        <v/>
      </c>
      <c r="Q388" t="str">
        <f t="shared" ref="Q388:Q451" si="65">LEFT(C388,3)</f>
        <v/>
      </c>
      <c r="R388" t="str">
        <f t="shared" ref="R388:R451" si="66">MID(I388,2,2)</f>
        <v/>
      </c>
    </row>
    <row r="389" spans="1:18">
      <c r="A389" s="85" t="str">
        <f>IF(C389="","",VLOOKUP('OPĆI DIO'!$C$3,'OPĆI DIO'!$L$6:$U$138,10,FALSE))</f>
        <v/>
      </c>
      <c r="B389" s="85" t="str">
        <f>IF(C389="","",VLOOKUP('OPĆI DIO'!$C$3,'OPĆI DIO'!$L$6:$U$138,9,FALSE))</f>
        <v/>
      </c>
      <c r="C389" s="90"/>
      <c r="D389" s="85" t="str">
        <f t="shared" si="59"/>
        <v/>
      </c>
      <c r="E389" s="90"/>
      <c r="F389" s="85" t="str">
        <f t="shared" si="60"/>
        <v/>
      </c>
      <c r="G389" s="123"/>
      <c r="H389" s="85" t="str">
        <f t="shared" si="61"/>
        <v/>
      </c>
      <c r="I389" s="85" t="str">
        <f t="shared" si="62"/>
        <v/>
      </c>
      <c r="J389" s="122"/>
      <c r="K389" s="122"/>
      <c r="L389" s="122"/>
      <c r="M389" s="89"/>
      <c r="O389" t="str">
        <f t="shared" si="63"/>
        <v/>
      </c>
      <c r="P389" t="str">
        <f t="shared" si="64"/>
        <v/>
      </c>
      <c r="Q389" t="str">
        <f t="shared" si="65"/>
        <v/>
      </c>
      <c r="R389" t="str">
        <f t="shared" si="66"/>
        <v/>
      </c>
    </row>
    <row r="390" spans="1:18">
      <c r="A390" s="85" t="str">
        <f>IF(C390="","",VLOOKUP('OPĆI DIO'!$C$3,'OPĆI DIO'!$L$6:$U$138,10,FALSE))</f>
        <v/>
      </c>
      <c r="B390" s="85" t="str">
        <f>IF(C390="","",VLOOKUP('OPĆI DIO'!$C$3,'OPĆI DIO'!$L$6:$U$138,9,FALSE))</f>
        <v/>
      </c>
      <c r="C390" s="90"/>
      <c r="D390" s="85" t="str">
        <f t="shared" si="59"/>
        <v/>
      </c>
      <c r="E390" s="90"/>
      <c r="F390" s="85" t="str">
        <f t="shared" si="60"/>
        <v/>
      </c>
      <c r="G390" s="123"/>
      <c r="H390" s="85" t="str">
        <f t="shared" si="61"/>
        <v/>
      </c>
      <c r="I390" s="85" t="str">
        <f t="shared" si="62"/>
        <v/>
      </c>
      <c r="J390" s="122"/>
      <c r="K390" s="122"/>
      <c r="L390" s="122"/>
      <c r="M390" s="89"/>
      <c r="O390" t="str">
        <f t="shared" si="63"/>
        <v/>
      </c>
      <c r="P390" t="str">
        <f t="shared" si="64"/>
        <v/>
      </c>
      <c r="Q390" t="str">
        <f t="shared" si="65"/>
        <v/>
      </c>
      <c r="R390" t="str">
        <f t="shared" si="66"/>
        <v/>
      </c>
    </row>
    <row r="391" spans="1:18">
      <c r="A391" s="85" t="str">
        <f>IF(C391="","",VLOOKUP('OPĆI DIO'!$C$3,'OPĆI DIO'!$L$6:$U$138,10,FALSE))</f>
        <v/>
      </c>
      <c r="B391" s="85" t="str">
        <f>IF(C391="","",VLOOKUP('OPĆI DIO'!$C$3,'OPĆI DIO'!$L$6:$U$138,9,FALSE))</f>
        <v/>
      </c>
      <c r="C391" s="90"/>
      <c r="D391" s="85" t="str">
        <f t="shared" si="59"/>
        <v/>
      </c>
      <c r="E391" s="90"/>
      <c r="F391" s="85" t="str">
        <f t="shared" si="60"/>
        <v/>
      </c>
      <c r="G391" s="123"/>
      <c r="H391" s="85" t="str">
        <f t="shared" si="61"/>
        <v/>
      </c>
      <c r="I391" s="85" t="str">
        <f t="shared" si="62"/>
        <v/>
      </c>
      <c r="J391" s="122"/>
      <c r="K391" s="122"/>
      <c r="L391" s="122"/>
      <c r="M391" s="89"/>
      <c r="O391" t="str">
        <f t="shared" si="63"/>
        <v/>
      </c>
      <c r="P391" t="str">
        <f t="shared" si="64"/>
        <v/>
      </c>
      <c r="Q391" t="str">
        <f t="shared" si="65"/>
        <v/>
      </c>
      <c r="R391" t="str">
        <f t="shared" si="66"/>
        <v/>
      </c>
    </row>
    <row r="392" spans="1:18">
      <c r="A392" s="85" t="str">
        <f>IF(C392="","",VLOOKUP('OPĆI DIO'!$C$3,'OPĆI DIO'!$L$6:$U$138,10,FALSE))</f>
        <v/>
      </c>
      <c r="B392" s="85" t="str">
        <f>IF(C392="","",VLOOKUP('OPĆI DIO'!$C$3,'OPĆI DIO'!$L$6:$U$138,9,FALSE))</f>
        <v/>
      </c>
      <c r="C392" s="90"/>
      <c r="D392" s="85" t="str">
        <f t="shared" si="59"/>
        <v/>
      </c>
      <c r="E392" s="90"/>
      <c r="F392" s="85" t="str">
        <f t="shared" si="60"/>
        <v/>
      </c>
      <c r="G392" s="123"/>
      <c r="H392" s="85" t="str">
        <f t="shared" si="61"/>
        <v/>
      </c>
      <c r="I392" s="85" t="str">
        <f t="shared" si="62"/>
        <v/>
      </c>
      <c r="J392" s="122"/>
      <c r="K392" s="122"/>
      <c r="L392" s="122"/>
      <c r="M392" s="89"/>
      <c r="O392" t="str">
        <f t="shared" si="63"/>
        <v/>
      </c>
      <c r="P392" t="str">
        <f t="shared" si="64"/>
        <v/>
      </c>
      <c r="Q392" t="str">
        <f t="shared" si="65"/>
        <v/>
      </c>
      <c r="R392" t="str">
        <f t="shared" si="66"/>
        <v/>
      </c>
    </row>
    <row r="393" spans="1:18">
      <c r="A393" s="85" t="str">
        <f>IF(C393="","",VLOOKUP('OPĆI DIO'!$C$3,'OPĆI DIO'!$L$6:$U$138,10,FALSE))</f>
        <v/>
      </c>
      <c r="B393" s="85" t="str">
        <f>IF(C393="","",VLOOKUP('OPĆI DIO'!$C$3,'OPĆI DIO'!$L$6:$U$138,9,FALSE))</f>
        <v/>
      </c>
      <c r="C393" s="90"/>
      <c r="D393" s="85" t="str">
        <f t="shared" si="59"/>
        <v/>
      </c>
      <c r="E393" s="90"/>
      <c r="F393" s="85" t="str">
        <f t="shared" si="60"/>
        <v/>
      </c>
      <c r="G393" s="123"/>
      <c r="H393" s="85" t="str">
        <f t="shared" si="61"/>
        <v/>
      </c>
      <c r="I393" s="85" t="str">
        <f t="shared" si="62"/>
        <v/>
      </c>
      <c r="J393" s="122"/>
      <c r="K393" s="122"/>
      <c r="L393" s="122"/>
      <c r="M393" s="89"/>
      <c r="O393" t="str">
        <f t="shared" si="63"/>
        <v/>
      </c>
      <c r="P393" t="str">
        <f t="shared" si="64"/>
        <v/>
      </c>
      <c r="Q393" t="str">
        <f t="shared" si="65"/>
        <v/>
      </c>
      <c r="R393" t="str">
        <f t="shared" si="66"/>
        <v/>
      </c>
    </row>
    <row r="394" spans="1:18">
      <c r="A394" s="85" t="str">
        <f>IF(C394="","",VLOOKUP('OPĆI DIO'!$C$3,'OPĆI DIO'!$L$6:$U$138,10,FALSE))</f>
        <v/>
      </c>
      <c r="B394" s="85" t="str">
        <f>IF(C394="","",VLOOKUP('OPĆI DIO'!$C$3,'OPĆI DIO'!$L$6:$U$138,9,FALSE))</f>
        <v/>
      </c>
      <c r="C394" s="90"/>
      <c r="D394" s="85" t="str">
        <f t="shared" si="59"/>
        <v/>
      </c>
      <c r="E394" s="90"/>
      <c r="F394" s="85" t="str">
        <f t="shared" si="60"/>
        <v/>
      </c>
      <c r="G394" s="123"/>
      <c r="H394" s="85" t="str">
        <f t="shared" si="61"/>
        <v/>
      </c>
      <c r="I394" s="85" t="str">
        <f t="shared" si="62"/>
        <v/>
      </c>
      <c r="J394" s="122"/>
      <c r="K394" s="122"/>
      <c r="L394" s="122"/>
      <c r="M394" s="89"/>
      <c r="O394" t="str">
        <f t="shared" si="63"/>
        <v/>
      </c>
      <c r="P394" t="str">
        <f t="shared" si="64"/>
        <v/>
      </c>
      <c r="Q394" t="str">
        <f t="shared" si="65"/>
        <v/>
      </c>
      <c r="R394" t="str">
        <f t="shared" si="66"/>
        <v/>
      </c>
    </row>
    <row r="395" spans="1:18">
      <c r="A395" s="85" t="str">
        <f>IF(C395="","",VLOOKUP('OPĆI DIO'!$C$3,'OPĆI DIO'!$L$6:$U$138,10,FALSE))</f>
        <v/>
      </c>
      <c r="B395" s="85" t="str">
        <f>IF(C395="","",VLOOKUP('OPĆI DIO'!$C$3,'OPĆI DIO'!$L$6:$U$138,9,FALSE))</f>
        <v/>
      </c>
      <c r="C395" s="90"/>
      <c r="D395" s="85" t="str">
        <f t="shared" si="59"/>
        <v/>
      </c>
      <c r="E395" s="90"/>
      <c r="F395" s="85" t="str">
        <f t="shared" si="60"/>
        <v/>
      </c>
      <c r="G395" s="123"/>
      <c r="H395" s="85" t="str">
        <f t="shared" si="61"/>
        <v/>
      </c>
      <c r="I395" s="85" t="str">
        <f t="shared" si="62"/>
        <v/>
      </c>
      <c r="J395" s="122"/>
      <c r="K395" s="122"/>
      <c r="L395" s="122"/>
      <c r="M395" s="89"/>
      <c r="O395" t="str">
        <f t="shared" si="63"/>
        <v/>
      </c>
      <c r="P395" t="str">
        <f t="shared" si="64"/>
        <v/>
      </c>
      <c r="Q395" t="str">
        <f t="shared" si="65"/>
        <v/>
      </c>
      <c r="R395" t="str">
        <f t="shared" si="66"/>
        <v/>
      </c>
    </row>
    <row r="396" spans="1:18">
      <c r="A396" s="85" t="str">
        <f>IF(C396="","",VLOOKUP('OPĆI DIO'!$C$3,'OPĆI DIO'!$L$6:$U$138,10,FALSE))</f>
        <v/>
      </c>
      <c r="B396" s="85" t="str">
        <f>IF(C396="","",VLOOKUP('OPĆI DIO'!$C$3,'OPĆI DIO'!$L$6:$U$138,9,FALSE))</f>
        <v/>
      </c>
      <c r="C396" s="90"/>
      <c r="D396" s="85" t="str">
        <f t="shared" si="59"/>
        <v/>
      </c>
      <c r="E396" s="90"/>
      <c r="F396" s="85" t="str">
        <f t="shared" si="60"/>
        <v/>
      </c>
      <c r="G396" s="123"/>
      <c r="H396" s="85" t="str">
        <f t="shared" si="61"/>
        <v/>
      </c>
      <c r="I396" s="85" t="str">
        <f t="shared" si="62"/>
        <v/>
      </c>
      <c r="J396" s="122"/>
      <c r="K396" s="122"/>
      <c r="L396" s="122"/>
      <c r="M396" s="89"/>
      <c r="O396" t="str">
        <f t="shared" si="63"/>
        <v/>
      </c>
      <c r="P396" t="str">
        <f t="shared" si="64"/>
        <v/>
      </c>
      <c r="Q396" t="str">
        <f t="shared" si="65"/>
        <v/>
      </c>
      <c r="R396" t="str">
        <f t="shared" si="66"/>
        <v/>
      </c>
    </row>
    <row r="397" spans="1:18">
      <c r="A397" s="85" t="str">
        <f>IF(C397="","",VLOOKUP('OPĆI DIO'!$C$3,'OPĆI DIO'!$L$6:$U$138,10,FALSE))</f>
        <v/>
      </c>
      <c r="B397" s="85" t="str">
        <f>IF(C397="","",VLOOKUP('OPĆI DIO'!$C$3,'OPĆI DIO'!$L$6:$U$138,9,FALSE))</f>
        <v/>
      </c>
      <c r="C397" s="90"/>
      <c r="D397" s="85" t="str">
        <f t="shared" si="59"/>
        <v/>
      </c>
      <c r="E397" s="90"/>
      <c r="F397" s="85" t="str">
        <f t="shared" si="60"/>
        <v/>
      </c>
      <c r="G397" s="123"/>
      <c r="H397" s="85" t="str">
        <f t="shared" si="61"/>
        <v/>
      </c>
      <c r="I397" s="85" t="str">
        <f t="shared" si="62"/>
        <v/>
      </c>
      <c r="J397" s="122"/>
      <c r="K397" s="122"/>
      <c r="L397" s="122"/>
      <c r="M397" s="89"/>
      <c r="O397" t="str">
        <f t="shared" si="63"/>
        <v/>
      </c>
      <c r="P397" t="str">
        <f t="shared" si="64"/>
        <v/>
      </c>
      <c r="Q397" t="str">
        <f t="shared" si="65"/>
        <v/>
      </c>
      <c r="R397" t="str">
        <f t="shared" si="66"/>
        <v/>
      </c>
    </row>
    <row r="398" spans="1:18">
      <c r="A398" s="85" t="str">
        <f>IF(C398="","",VLOOKUP('OPĆI DIO'!$C$3,'OPĆI DIO'!$L$6:$U$138,10,FALSE))</f>
        <v/>
      </c>
      <c r="B398" s="85" t="str">
        <f>IF(C398="","",VLOOKUP('OPĆI DIO'!$C$3,'OPĆI DIO'!$L$6:$U$138,9,FALSE))</f>
        <v/>
      </c>
      <c r="C398" s="90"/>
      <c r="D398" s="85" t="str">
        <f t="shared" si="59"/>
        <v/>
      </c>
      <c r="E398" s="90"/>
      <c r="F398" s="85" t="str">
        <f t="shared" si="60"/>
        <v/>
      </c>
      <c r="G398" s="123"/>
      <c r="H398" s="85" t="str">
        <f t="shared" si="61"/>
        <v/>
      </c>
      <c r="I398" s="85" t="str">
        <f t="shared" si="62"/>
        <v/>
      </c>
      <c r="J398" s="122"/>
      <c r="K398" s="122"/>
      <c r="L398" s="122"/>
      <c r="M398" s="89"/>
      <c r="O398" t="str">
        <f t="shared" si="63"/>
        <v/>
      </c>
      <c r="P398" t="str">
        <f t="shared" si="64"/>
        <v/>
      </c>
      <c r="Q398" t="str">
        <f t="shared" si="65"/>
        <v/>
      </c>
      <c r="R398" t="str">
        <f t="shared" si="66"/>
        <v/>
      </c>
    </row>
    <row r="399" spans="1:18">
      <c r="A399" s="85" t="str">
        <f>IF(C399="","",VLOOKUP('OPĆI DIO'!$C$3,'OPĆI DIO'!$L$6:$U$138,10,FALSE))</f>
        <v/>
      </c>
      <c r="B399" s="85" t="str">
        <f>IF(C399="","",VLOOKUP('OPĆI DIO'!$C$3,'OPĆI DIO'!$L$6:$U$138,9,FALSE))</f>
        <v/>
      </c>
      <c r="C399" s="90"/>
      <c r="D399" s="85" t="str">
        <f t="shared" si="59"/>
        <v/>
      </c>
      <c r="E399" s="90"/>
      <c r="F399" s="85" t="str">
        <f t="shared" si="60"/>
        <v/>
      </c>
      <c r="G399" s="123"/>
      <c r="H399" s="85" t="str">
        <f t="shared" si="61"/>
        <v/>
      </c>
      <c r="I399" s="85" t="str">
        <f t="shared" si="62"/>
        <v/>
      </c>
      <c r="J399" s="122"/>
      <c r="K399" s="122"/>
      <c r="L399" s="122"/>
      <c r="M399" s="89"/>
      <c r="O399" t="str">
        <f t="shared" si="63"/>
        <v/>
      </c>
      <c r="P399" t="str">
        <f t="shared" si="64"/>
        <v/>
      </c>
      <c r="Q399" t="str">
        <f t="shared" si="65"/>
        <v/>
      </c>
      <c r="R399" t="str">
        <f t="shared" si="66"/>
        <v/>
      </c>
    </row>
    <row r="400" spans="1:18">
      <c r="A400" s="85" t="str">
        <f>IF(C400="","",VLOOKUP('OPĆI DIO'!$C$3,'OPĆI DIO'!$L$6:$U$138,10,FALSE))</f>
        <v/>
      </c>
      <c r="B400" s="85" t="str">
        <f>IF(C400="","",VLOOKUP('OPĆI DIO'!$C$3,'OPĆI DIO'!$L$6:$U$138,9,FALSE))</f>
        <v/>
      </c>
      <c r="C400" s="90"/>
      <c r="D400" s="85" t="str">
        <f t="shared" si="59"/>
        <v/>
      </c>
      <c r="E400" s="90"/>
      <c r="F400" s="85" t="str">
        <f t="shared" si="60"/>
        <v/>
      </c>
      <c r="G400" s="123"/>
      <c r="H400" s="85" t="str">
        <f t="shared" si="61"/>
        <v/>
      </c>
      <c r="I400" s="85" t="str">
        <f t="shared" si="62"/>
        <v/>
      </c>
      <c r="J400" s="122"/>
      <c r="K400" s="122"/>
      <c r="L400" s="122"/>
      <c r="M400" s="89"/>
      <c r="O400" t="str">
        <f t="shared" si="63"/>
        <v/>
      </c>
      <c r="P400" t="str">
        <f t="shared" si="64"/>
        <v/>
      </c>
      <c r="Q400" t="str">
        <f t="shared" si="65"/>
        <v/>
      </c>
      <c r="R400" t="str">
        <f t="shared" si="66"/>
        <v/>
      </c>
    </row>
    <row r="401" spans="1:18">
      <c r="A401" s="85" t="str">
        <f>IF(C401="","",VLOOKUP('OPĆI DIO'!$C$3,'OPĆI DIO'!$L$6:$U$138,10,FALSE))</f>
        <v/>
      </c>
      <c r="B401" s="85" t="str">
        <f>IF(C401="","",VLOOKUP('OPĆI DIO'!$C$3,'OPĆI DIO'!$L$6:$U$138,9,FALSE))</f>
        <v/>
      </c>
      <c r="C401" s="90"/>
      <c r="D401" s="85" t="str">
        <f t="shared" si="59"/>
        <v/>
      </c>
      <c r="E401" s="90"/>
      <c r="F401" s="85" t="str">
        <f t="shared" si="60"/>
        <v/>
      </c>
      <c r="G401" s="123"/>
      <c r="H401" s="85" t="str">
        <f t="shared" si="61"/>
        <v/>
      </c>
      <c r="I401" s="85" t="str">
        <f t="shared" si="62"/>
        <v/>
      </c>
      <c r="J401" s="122"/>
      <c r="K401" s="122"/>
      <c r="L401" s="122"/>
      <c r="M401" s="89"/>
      <c r="O401" t="str">
        <f t="shared" si="63"/>
        <v/>
      </c>
      <c r="P401" t="str">
        <f t="shared" si="64"/>
        <v/>
      </c>
      <c r="Q401" t="str">
        <f t="shared" si="65"/>
        <v/>
      </c>
      <c r="R401" t="str">
        <f t="shared" si="66"/>
        <v/>
      </c>
    </row>
    <row r="402" spans="1:18">
      <c r="A402" s="85" t="str">
        <f>IF(C402="","",VLOOKUP('OPĆI DIO'!$C$3,'OPĆI DIO'!$L$6:$U$138,10,FALSE))</f>
        <v/>
      </c>
      <c r="B402" s="85" t="str">
        <f>IF(C402="","",VLOOKUP('OPĆI DIO'!$C$3,'OPĆI DIO'!$L$6:$U$138,9,FALSE))</f>
        <v/>
      </c>
      <c r="C402" s="90"/>
      <c r="D402" s="85" t="str">
        <f t="shared" si="59"/>
        <v/>
      </c>
      <c r="E402" s="90"/>
      <c r="F402" s="85" t="str">
        <f t="shared" si="60"/>
        <v/>
      </c>
      <c r="G402" s="123"/>
      <c r="H402" s="85" t="str">
        <f t="shared" si="61"/>
        <v/>
      </c>
      <c r="I402" s="85" t="str">
        <f t="shared" si="62"/>
        <v/>
      </c>
      <c r="J402" s="122"/>
      <c r="K402" s="122"/>
      <c r="L402" s="122"/>
      <c r="M402" s="89"/>
      <c r="O402" t="str">
        <f t="shared" si="63"/>
        <v/>
      </c>
      <c r="P402" t="str">
        <f t="shared" si="64"/>
        <v/>
      </c>
      <c r="Q402" t="str">
        <f t="shared" si="65"/>
        <v/>
      </c>
      <c r="R402" t="str">
        <f t="shared" si="66"/>
        <v/>
      </c>
    </row>
    <row r="403" spans="1:18">
      <c r="A403" s="85" t="str">
        <f>IF(C403="","",VLOOKUP('OPĆI DIO'!$C$3,'OPĆI DIO'!$L$6:$U$138,10,FALSE))</f>
        <v/>
      </c>
      <c r="B403" s="85" t="str">
        <f>IF(C403="","",VLOOKUP('OPĆI DIO'!$C$3,'OPĆI DIO'!$L$6:$U$138,9,FALSE))</f>
        <v/>
      </c>
      <c r="C403" s="90"/>
      <c r="D403" s="85" t="str">
        <f t="shared" si="59"/>
        <v/>
      </c>
      <c r="E403" s="90"/>
      <c r="F403" s="85" t="str">
        <f t="shared" si="60"/>
        <v/>
      </c>
      <c r="G403" s="123"/>
      <c r="H403" s="85" t="str">
        <f t="shared" si="61"/>
        <v/>
      </c>
      <c r="I403" s="85" t="str">
        <f t="shared" si="62"/>
        <v/>
      </c>
      <c r="J403" s="122"/>
      <c r="K403" s="122"/>
      <c r="L403" s="122"/>
      <c r="M403" s="89"/>
      <c r="O403" t="str">
        <f t="shared" si="63"/>
        <v/>
      </c>
      <c r="P403" t="str">
        <f t="shared" si="64"/>
        <v/>
      </c>
      <c r="Q403" t="str">
        <f t="shared" si="65"/>
        <v/>
      </c>
      <c r="R403" t="str">
        <f t="shared" si="66"/>
        <v/>
      </c>
    </row>
    <row r="404" spans="1:18">
      <c r="A404" s="85" t="str">
        <f>IF(C404="","",VLOOKUP('OPĆI DIO'!$C$3,'OPĆI DIO'!$L$6:$U$138,10,FALSE))</f>
        <v/>
      </c>
      <c r="B404" s="85" t="str">
        <f>IF(C404="","",VLOOKUP('OPĆI DIO'!$C$3,'OPĆI DIO'!$L$6:$U$138,9,FALSE))</f>
        <v/>
      </c>
      <c r="C404" s="90"/>
      <c r="D404" s="85" t="str">
        <f t="shared" si="59"/>
        <v/>
      </c>
      <c r="E404" s="90"/>
      <c r="F404" s="85" t="str">
        <f t="shared" si="60"/>
        <v/>
      </c>
      <c r="G404" s="123"/>
      <c r="H404" s="85" t="str">
        <f t="shared" si="61"/>
        <v/>
      </c>
      <c r="I404" s="85" t="str">
        <f t="shared" si="62"/>
        <v/>
      </c>
      <c r="J404" s="122"/>
      <c r="K404" s="122"/>
      <c r="L404" s="122"/>
      <c r="M404" s="89"/>
      <c r="O404" t="str">
        <f t="shared" si="63"/>
        <v/>
      </c>
      <c r="P404" t="str">
        <f t="shared" si="64"/>
        <v/>
      </c>
      <c r="Q404" t="str">
        <f t="shared" si="65"/>
        <v/>
      </c>
      <c r="R404" t="str">
        <f t="shared" si="66"/>
        <v/>
      </c>
    </row>
    <row r="405" spans="1:18">
      <c r="A405" s="85" t="str">
        <f>IF(C405="","",VLOOKUP('OPĆI DIO'!$C$3,'OPĆI DIO'!$L$6:$U$138,10,FALSE))</f>
        <v/>
      </c>
      <c r="B405" s="85" t="str">
        <f>IF(C405="","",VLOOKUP('OPĆI DIO'!$C$3,'OPĆI DIO'!$L$6:$U$138,9,FALSE))</f>
        <v/>
      </c>
      <c r="C405" s="90"/>
      <c r="D405" s="85" t="str">
        <f t="shared" si="59"/>
        <v/>
      </c>
      <c r="E405" s="90"/>
      <c r="F405" s="85" t="str">
        <f t="shared" si="60"/>
        <v/>
      </c>
      <c r="G405" s="123"/>
      <c r="H405" s="85" t="str">
        <f t="shared" si="61"/>
        <v/>
      </c>
      <c r="I405" s="85" t="str">
        <f t="shared" si="62"/>
        <v/>
      </c>
      <c r="J405" s="122"/>
      <c r="K405" s="122"/>
      <c r="L405" s="122"/>
      <c r="M405" s="89"/>
      <c r="O405" t="str">
        <f t="shared" si="63"/>
        <v/>
      </c>
      <c r="P405" t="str">
        <f t="shared" si="64"/>
        <v/>
      </c>
      <c r="Q405" t="str">
        <f t="shared" si="65"/>
        <v/>
      </c>
      <c r="R405" t="str">
        <f t="shared" si="66"/>
        <v/>
      </c>
    </row>
    <row r="406" spans="1:18">
      <c r="A406" s="85" t="str">
        <f>IF(C406="","",VLOOKUP('OPĆI DIO'!$C$3,'OPĆI DIO'!$L$6:$U$138,10,FALSE))</f>
        <v/>
      </c>
      <c r="B406" s="85" t="str">
        <f>IF(C406="","",VLOOKUP('OPĆI DIO'!$C$3,'OPĆI DIO'!$L$6:$U$138,9,FALSE))</f>
        <v/>
      </c>
      <c r="C406" s="90"/>
      <c r="D406" s="85" t="str">
        <f t="shared" si="59"/>
        <v/>
      </c>
      <c r="E406" s="90"/>
      <c r="F406" s="85" t="str">
        <f t="shared" si="60"/>
        <v/>
      </c>
      <c r="G406" s="123"/>
      <c r="H406" s="85" t="str">
        <f t="shared" si="61"/>
        <v/>
      </c>
      <c r="I406" s="85" t="str">
        <f t="shared" si="62"/>
        <v/>
      </c>
      <c r="J406" s="122"/>
      <c r="K406" s="122"/>
      <c r="L406" s="122"/>
      <c r="M406" s="89"/>
      <c r="O406" t="str">
        <f t="shared" si="63"/>
        <v/>
      </c>
      <c r="P406" t="str">
        <f t="shared" si="64"/>
        <v/>
      </c>
      <c r="Q406" t="str">
        <f t="shared" si="65"/>
        <v/>
      </c>
      <c r="R406" t="str">
        <f t="shared" si="66"/>
        <v/>
      </c>
    </row>
    <row r="407" spans="1:18">
      <c r="A407" s="85" t="str">
        <f>IF(C407="","",VLOOKUP('OPĆI DIO'!$C$3,'OPĆI DIO'!$L$6:$U$138,10,FALSE))</f>
        <v/>
      </c>
      <c r="B407" s="85" t="str">
        <f>IF(C407="","",VLOOKUP('OPĆI DIO'!$C$3,'OPĆI DIO'!$L$6:$U$138,9,FALSE))</f>
        <v/>
      </c>
      <c r="C407" s="90"/>
      <c r="D407" s="85" t="str">
        <f t="shared" si="59"/>
        <v/>
      </c>
      <c r="E407" s="90"/>
      <c r="F407" s="85" t="str">
        <f t="shared" si="60"/>
        <v/>
      </c>
      <c r="G407" s="123"/>
      <c r="H407" s="85" t="str">
        <f t="shared" si="61"/>
        <v/>
      </c>
      <c r="I407" s="85" t="str">
        <f t="shared" si="62"/>
        <v/>
      </c>
      <c r="J407" s="122"/>
      <c r="K407" s="122"/>
      <c r="L407" s="122"/>
      <c r="M407" s="89"/>
      <c r="O407" t="str">
        <f t="shared" si="63"/>
        <v/>
      </c>
      <c r="P407" t="str">
        <f t="shared" si="64"/>
        <v/>
      </c>
      <c r="Q407" t="str">
        <f t="shared" si="65"/>
        <v/>
      </c>
      <c r="R407" t="str">
        <f t="shared" si="66"/>
        <v/>
      </c>
    </row>
    <row r="408" spans="1:18">
      <c r="A408" s="85" t="str">
        <f>IF(C408="","",VLOOKUP('OPĆI DIO'!$C$3,'OPĆI DIO'!$L$6:$U$138,10,FALSE))</f>
        <v/>
      </c>
      <c r="B408" s="85" t="str">
        <f>IF(C408="","",VLOOKUP('OPĆI DIO'!$C$3,'OPĆI DIO'!$L$6:$U$138,9,FALSE))</f>
        <v/>
      </c>
      <c r="C408" s="90"/>
      <c r="D408" s="85" t="str">
        <f t="shared" si="59"/>
        <v/>
      </c>
      <c r="E408" s="90"/>
      <c r="F408" s="85" t="str">
        <f t="shared" si="60"/>
        <v/>
      </c>
      <c r="G408" s="123"/>
      <c r="H408" s="85" t="str">
        <f t="shared" si="61"/>
        <v/>
      </c>
      <c r="I408" s="85" t="str">
        <f t="shared" si="62"/>
        <v/>
      </c>
      <c r="J408" s="122"/>
      <c r="K408" s="122"/>
      <c r="L408" s="122"/>
      <c r="M408" s="89"/>
      <c r="O408" t="str">
        <f t="shared" si="63"/>
        <v/>
      </c>
      <c r="P408" t="str">
        <f t="shared" si="64"/>
        <v/>
      </c>
      <c r="Q408" t="str">
        <f t="shared" si="65"/>
        <v/>
      </c>
      <c r="R408" t="str">
        <f t="shared" si="66"/>
        <v/>
      </c>
    </row>
    <row r="409" spans="1:18">
      <c r="A409" s="85" t="str">
        <f>IF(C409="","",VLOOKUP('OPĆI DIO'!$C$3,'OPĆI DIO'!$L$6:$U$138,10,FALSE))</f>
        <v/>
      </c>
      <c r="B409" s="85" t="str">
        <f>IF(C409="","",VLOOKUP('OPĆI DIO'!$C$3,'OPĆI DIO'!$L$6:$U$138,9,FALSE))</f>
        <v/>
      </c>
      <c r="C409" s="90"/>
      <c r="D409" s="85" t="str">
        <f t="shared" si="59"/>
        <v/>
      </c>
      <c r="E409" s="90"/>
      <c r="F409" s="85" t="str">
        <f t="shared" si="60"/>
        <v/>
      </c>
      <c r="G409" s="123"/>
      <c r="H409" s="85" t="str">
        <f t="shared" si="61"/>
        <v/>
      </c>
      <c r="I409" s="85" t="str">
        <f t="shared" si="62"/>
        <v/>
      </c>
      <c r="J409" s="122"/>
      <c r="K409" s="122"/>
      <c r="L409" s="122"/>
      <c r="M409" s="89"/>
      <c r="O409" t="str">
        <f t="shared" si="63"/>
        <v/>
      </c>
      <c r="P409" t="str">
        <f t="shared" si="64"/>
        <v/>
      </c>
      <c r="Q409" t="str">
        <f t="shared" si="65"/>
        <v/>
      </c>
      <c r="R409" t="str">
        <f t="shared" si="66"/>
        <v/>
      </c>
    </row>
    <row r="410" spans="1:18">
      <c r="A410" s="85" t="str">
        <f>IF(C410="","",VLOOKUP('OPĆI DIO'!$C$3,'OPĆI DIO'!$L$6:$U$138,10,FALSE))</f>
        <v/>
      </c>
      <c r="B410" s="85" t="str">
        <f>IF(C410="","",VLOOKUP('OPĆI DIO'!$C$3,'OPĆI DIO'!$L$6:$U$138,9,FALSE))</f>
        <v/>
      </c>
      <c r="C410" s="90"/>
      <c r="D410" s="85" t="str">
        <f t="shared" si="59"/>
        <v/>
      </c>
      <c r="E410" s="90"/>
      <c r="F410" s="85" t="str">
        <f t="shared" si="60"/>
        <v/>
      </c>
      <c r="G410" s="123"/>
      <c r="H410" s="85" t="str">
        <f t="shared" si="61"/>
        <v/>
      </c>
      <c r="I410" s="85" t="str">
        <f t="shared" si="62"/>
        <v/>
      </c>
      <c r="J410" s="122"/>
      <c r="K410" s="122"/>
      <c r="L410" s="122"/>
      <c r="M410" s="89"/>
      <c r="O410" t="str">
        <f t="shared" si="63"/>
        <v/>
      </c>
      <c r="P410" t="str">
        <f t="shared" si="64"/>
        <v/>
      </c>
      <c r="Q410" t="str">
        <f t="shared" si="65"/>
        <v/>
      </c>
      <c r="R410" t="str">
        <f t="shared" si="66"/>
        <v/>
      </c>
    </row>
    <row r="411" spans="1:18">
      <c r="A411" s="85" t="str">
        <f>IF(C411="","",VLOOKUP('OPĆI DIO'!$C$3,'OPĆI DIO'!$L$6:$U$138,10,FALSE))</f>
        <v/>
      </c>
      <c r="B411" s="85" t="str">
        <f>IF(C411="","",VLOOKUP('OPĆI DIO'!$C$3,'OPĆI DIO'!$L$6:$U$138,9,FALSE))</f>
        <v/>
      </c>
      <c r="C411" s="90"/>
      <c r="D411" s="85" t="str">
        <f t="shared" si="59"/>
        <v/>
      </c>
      <c r="E411" s="90"/>
      <c r="F411" s="85" t="str">
        <f t="shared" si="60"/>
        <v/>
      </c>
      <c r="G411" s="123"/>
      <c r="H411" s="85" t="str">
        <f t="shared" si="61"/>
        <v/>
      </c>
      <c r="I411" s="85" t="str">
        <f t="shared" si="62"/>
        <v/>
      </c>
      <c r="J411" s="122"/>
      <c r="K411" s="122"/>
      <c r="L411" s="122"/>
      <c r="M411" s="89"/>
      <c r="O411" t="str">
        <f t="shared" si="63"/>
        <v/>
      </c>
      <c r="P411" t="str">
        <f t="shared" si="64"/>
        <v/>
      </c>
      <c r="Q411" t="str">
        <f t="shared" si="65"/>
        <v/>
      </c>
      <c r="R411" t="str">
        <f t="shared" si="66"/>
        <v/>
      </c>
    </row>
    <row r="412" spans="1:18">
      <c r="A412" s="85" t="str">
        <f>IF(C412="","",VLOOKUP('OPĆI DIO'!$C$3,'OPĆI DIO'!$L$6:$U$138,10,FALSE))</f>
        <v/>
      </c>
      <c r="B412" s="85" t="str">
        <f>IF(C412="","",VLOOKUP('OPĆI DIO'!$C$3,'OPĆI DIO'!$L$6:$U$138,9,FALSE))</f>
        <v/>
      </c>
      <c r="C412" s="90"/>
      <c r="D412" s="85" t="str">
        <f t="shared" si="59"/>
        <v/>
      </c>
      <c r="E412" s="90"/>
      <c r="F412" s="85" t="str">
        <f t="shared" si="60"/>
        <v/>
      </c>
      <c r="G412" s="123"/>
      <c r="H412" s="85" t="str">
        <f t="shared" si="61"/>
        <v/>
      </c>
      <c r="I412" s="85" t="str">
        <f t="shared" si="62"/>
        <v/>
      </c>
      <c r="J412" s="122"/>
      <c r="K412" s="122"/>
      <c r="L412" s="122"/>
      <c r="M412" s="89"/>
      <c r="O412" t="str">
        <f t="shared" si="63"/>
        <v/>
      </c>
      <c r="P412" t="str">
        <f t="shared" si="64"/>
        <v/>
      </c>
      <c r="Q412" t="str">
        <f t="shared" si="65"/>
        <v/>
      </c>
      <c r="R412" t="str">
        <f t="shared" si="66"/>
        <v/>
      </c>
    </row>
    <row r="413" spans="1:18">
      <c r="A413" s="85" t="str">
        <f>IF(C413="","",VLOOKUP('OPĆI DIO'!$C$3,'OPĆI DIO'!$L$6:$U$138,10,FALSE))</f>
        <v/>
      </c>
      <c r="B413" s="85" t="str">
        <f>IF(C413="","",VLOOKUP('OPĆI DIO'!$C$3,'OPĆI DIO'!$L$6:$U$138,9,FALSE))</f>
        <v/>
      </c>
      <c r="C413" s="90"/>
      <c r="D413" s="85" t="str">
        <f t="shared" si="59"/>
        <v/>
      </c>
      <c r="E413" s="90"/>
      <c r="F413" s="85" t="str">
        <f t="shared" si="60"/>
        <v/>
      </c>
      <c r="G413" s="123"/>
      <c r="H413" s="85" t="str">
        <f t="shared" si="61"/>
        <v/>
      </c>
      <c r="I413" s="85" t="str">
        <f t="shared" si="62"/>
        <v/>
      </c>
      <c r="J413" s="122"/>
      <c r="K413" s="122"/>
      <c r="L413" s="122"/>
      <c r="M413" s="89"/>
      <c r="O413" t="str">
        <f t="shared" si="63"/>
        <v/>
      </c>
      <c r="P413" t="str">
        <f t="shared" si="64"/>
        <v/>
      </c>
      <c r="Q413" t="str">
        <f t="shared" si="65"/>
        <v/>
      </c>
      <c r="R413" t="str">
        <f t="shared" si="66"/>
        <v/>
      </c>
    </row>
    <row r="414" spans="1:18">
      <c r="A414" s="85" t="str">
        <f>IF(C414="","",VLOOKUP('OPĆI DIO'!$C$3,'OPĆI DIO'!$L$6:$U$138,10,FALSE))</f>
        <v/>
      </c>
      <c r="B414" s="85" t="str">
        <f>IF(C414="","",VLOOKUP('OPĆI DIO'!$C$3,'OPĆI DIO'!$L$6:$U$138,9,FALSE))</f>
        <v/>
      </c>
      <c r="C414" s="90"/>
      <c r="D414" s="85" t="str">
        <f t="shared" si="59"/>
        <v/>
      </c>
      <c r="E414" s="90"/>
      <c r="F414" s="85" t="str">
        <f t="shared" si="60"/>
        <v/>
      </c>
      <c r="G414" s="123"/>
      <c r="H414" s="85" t="str">
        <f t="shared" si="61"/>
        <v/>
      </c>
      <c r="I414" s="85" t="str">
        <f t="shared" si="62"/>
        <v/>
      </c>
      <c r="J414" s="122"/>
      <c r="K414" s="122"/>
      <c r="L414" s="122"/>
      <c r="M414" s="89"/>
      <c r="O414" t="str">
        <f t="shared" si="63"/>
        <v/>
      </c>
      <c r="P414" t="str">
        <f t="shared" si="64"/>
        <v/>
      </c>
      <c r="Q414" t="str">
        <f t="shared" si="65"/>
        <v/>
      </c>
      <c r="R414" t="str">
        <f t="shared" si="66"/>
        <v/>
      </c>
    </row>
    <row r="415" spans="1:18">
      <c r="A415" s="85" t="str">
        <f>IF(C415="","",VLOOKUP('OPĆI DIO'!$C$3,'OPĆI DIO'!$L$6:$U$138,10,FALSE))</f>
        <v/>
      </c>
      <c r="B415" s="85" t="str">
        <f>IF(C415="","",VLOOKUP('OPĆI DIO'!$C$3,'OPĆI DIO'!$L$6:$U$138,9,FALSE))</f>
        <v/>
      </c>
      <c r="C415" s="90"/>
      <c r="D415" s="85" t="str">
        <f t="shared" si="59"/>
        <v/>
      </c>
      <c r="E415" s="90"/>
      <c r="F415" s="85" t="str">
        <f t="shared" si="60"/>
        <v/>
      </c>
      <c r="G415" s="123"/>
      <c r="H415" s="85" t="str">
        <f t="shared" si="61"/>
        <v/>
      </c>
      <c r="I415" s="85" t="str">
        <f t="shared" si="62"/>
        <v/>
      </c>
      <c r="J415" s="122"/>
      <c r="K415" s="122"/>
      <c r="L415" s="122"/>
      <c r="M415" s="89"/>
      <c r="O415" t="str">
        <f t="shared" si="63"/>
        <v/>
      </c>
      <c r="P415" t="str">
        <f t="shared" si="64"/>
        <v/>
      </c>
      <c r="Q415" t="str">
        <f t="shared" si="65"/>
        <v/>
      </c>
      <c r="R415" t="str">
        <f t="shared" si="66"/>
        <v/>
      </c>
    </row>
    <row r="416" spans="1:18">
      <c r="A416" s="85" t="str">
        <f>IF(C416="","",VLOOKUP('OPĆI DIO'!$C$3,'OPĆI DIO'!$L$6:$U$138,10,FALSE))</f>
        <v/>
      </c>
      <c r="B416" s="85" t="str">
        <f>IF(C416="","",VLOOKUP('OPĆI DIO'!$C$3,'OPĆI DIO'!$L$6:$U$138,9,FALSE))</f>
        <v/>
      </c>
      <c r="C416" s="90"/>
      <c r="D416" s="85" t="str">
        <f t="shared" si="59"/>
        <v/>
      </c>
      <c r="E416" s="90"/>
      <c r="F416" s="85" t="str">
        <f t="shared" si="60"/>
        <v/>
      </c>
      <c r="G416" s="123"/>
      <c r="H416" s="85" t="str">
        <f t="shared" si="61"/>
        <v/>
      </c>
      <c r="I416" s="85" t="str">
        <f t="shared" si="62"/>
        <v/>
      </c>
      <c r="J416" s="122"/>
      <c r="K416" s="122"/>
      <c r="L416" s="122"/>
      <c r="M416" s="89"/>
      <c r="O416" t="str">
        <f t="shared" si="63"/>
        <v/>
      </c>
      <c r="P416" t="str">
        <f t="shared" si="64"/>
        <v/>
      </c>
      <c r="Q416" t="str">
        <f t="shared" si="65"/>
        <v/>
      </c>
      <c r="R416" t="str">
        <f t="shared" si="66"/>
        <v/>
      </c>
    </row>
    <row r="417" spans="1:18">
      <c r="A417" s="85" t="str">
        <f>IF(C417="","",VLOOKUP('OPĆI DIO'!$C$3,'OPĆI DIO'!$L$6:$U$138,10,FALSE))</f>
        <v/>
      </c>
      <c r="B417" s="85" t="str">
        <f>IF(C417="","",VLOOKUP('OPĆI DIO'!$C$3,'OPĆI DIO'!$L$6:$U$138,9,FALSE))</f>
        <v/>
      </c>
      <c r="C417" s="90"/>
      <c r="D417" s="85" t="str">
        <f t="shared" si="59"/>
        <v/>
      </c>
      <c r="E417" s="90"/>
      <c r="F417" s="85" t="str">
        <f t="shared" si="60"/>
        <v/>
      </c>
      <c r="G417" s="123"/>
      <c r="H417" s="85" t="str">
        <f t="shared" si="61"/>
        <v/>
      </c>
      <c r="I417" s="85" t="str">
        <f t="shared" si="62"/>
        <v/>
      </c>
      <c r="J417" s="122"/>
      <c r="K417" s="122"/>
      <c r="L417" s="122"/>
      <c r="M417" s="89"/>
      <c r="O417" t="str">
        <f t="shared" si="63"/>
        <v/>
      </c>
      <c r="P417" t="str">
        <f t="shared" si="64"/>
        <v/>
      </c>
      <c r="Q417" t="str">
        <f t="shared" si="65"/>
        <v/>
      </c>
      <c r="R417" t="str">
        <f t="shared" si="66"/>
        <v/>
      </c>
    </row>
    <row r="418" spans="1:18">
      <c r="A418" s="85" t="str">
        <f>IF(C418="","",VLOOKUP('OPĆI DIO'!$C$3,'OPĆI DIO'!$L$6:$U$138,10,FALSE))</f>
        <v/>
      </c>
      <c r="B418" s="85" t="str">
        <f>IF(C418="","",VLOOKUP('OPĆI DIO'!$C$3,'OPĆI DIO'!$L$6:$U$138,9,FALSE))</f>
        <v/>
      </c>
      <c r="C418" s="90"/>
      <c r="D418" s="85" t="str">
        <f t="shared" si="59"/>
        <v/>
      </c>
      <c r="E418" s="90"/>
      <c r="F418" s="85" t="str">
        <f t="shared" si="60"/>
        <v/>
      </c>
      <c r="G418" s="123"/>
      <c r="H418" s="85" t="str">
        <f t="shared" si="61"/>
        <v/>
      </c>
      <c r="I418" s="85" t="str">
        <f t="shared" si="62"/>
        <v/>
      </c>
      <c r="J418" s="122"/>
      <c r="K418" s="122"/>
      <c r="L418" s="122"/>
      <c r="M418" s="89"/>
      <c r="O418" t="str">
        <f t="shared" si="63"/>
        <v/>
      </c>
      <c r="P418" t="str">
        <f t="shared" si="64"/>
        <v/>
      </c>
      <c r="Q418" t="str">
        <f t="shared" si="65"/>
        <v/>
      </c>
      <c r="R418" t="str">
        <f t="shared" si="66"/>
        <v/>
      </c>
    </row>
    <row r="419" spans="1:18">
      <c r="A419" s="85" t="str">
        <f>IF(C419="","",VLOOKUP('OPĆI DIO'!$C$3,'OPĆI DIO'!$L$6:$U$138,10,FALSE))</f>
        <v/>
      </c>
      <c r="B419" s="85" t="str">
        <f>IF(C419="","",VLOOKUP('OPĆI DIO'!$C$3,'OPĆI DIO'!$L$6:$U$138,9,FALSE))</f>
        <v/>
      </c>
      <c r="C419" s="90"/>
      <c r="D419" s="85" t="str">
        <f t="shared" si="59"/>
        <v/>
      </c>
      <c r="E419" s="90"/>
      <c r="F419" s="85" t="str">
        <f t="shared" si="60"/>
        <v/>
      </c>
      <c r="G419" s="123"/>
      <c r="H419" s="85" t="str">
        <f t="shared" si="61"/>
        <v/>
      </c>
      <c r="I419" s="85" t="str">
        <f t="shared" si="62"/>
        <v/>
      </c>
      <c r="J419" s="122"/>
      <c r="K419" s="122"/>
      <c r="L419" s="122"/>
      <c r="M419" s="89"/>
      <c r="O419" t="str">
        <f t="shared" si="63"/>
        <v/>
      </c>
      <c r="P419" t="str">
        <f t="shared" si="64"/>
        <v/>
      </c>
      <c r="Q419" t="str">
        <f t="shared" si="65"/>
        <v/>
      </c>
      <c r="R419" t="str">
        <f t="shared" si="66"/>
        <v/>
      </c>
    </row>
    <row r="420" spans="1:18">
      <c r="A420" s="85" t="str">
        <f>IF(C420="","",VLOOKUP('OPĆI DIO'!$C$3,'OPĆI DIO'!$L$6:$U$138,10,FALSE))</f>
        <v/>
      </c>
      <c r="B420" s="85" t="str">
        <f>IF(C420="","",VLOOKUP('OPĆI DIO'!$C$3,'OPĆI DIO'!$L$6:$U$138,9,FALSE))</f>
        <v/>
      </c>
      <c r="C420" s="90"/>
      <c r="D420" s="85" t="str">
        <f t="shared" si="59"/>
        <v/>
      </c>
      <c r="E420" s="90"/>
      <c r="F420" s="85" t="str">
        <f t="shared" si="60"/>
        <v/>
      </c>
      <c r="G420" s="123"/>
      <c r="H420" s="85" t="str">
        <f t="shared" si="61"/>
        <v/>
      </c>
      <c r="I420" s="85" t="str">
        <f t="shared" si="62"/>
        <v/>
      </c>
      <c r="J420" s="122"/>
      <c r="K420" s="122"/>
      <c r="L420" s="122"/>
      <c r="M420" s="89"/>
      <c r="O420" t="str">
        <f t="shared" si="63"/>
        <v/>
      </c>
      <c r="P420" t="str">
        <f t="shared" si="64"/>
        <v/>
      </c>
      <c r="Q420" t="str">
        <f t="shared" si="65"/>
        <v/>
      </c>
      <c r="R420" t="str">
        <f t="shared" si="66"/>
        <v/>
      </c>
    </row>
    <row r="421" spans="1:18">
      <c r="A421" s="85" t="str">
        <f>IF(C421="","",VLOOKUP('OPĆI DIO'!$C$3,'OPĆI DIO'!$L$6:$U$138,10,FALSE))</f>
        <v/>
      </c>
      <c r="B421" s="85" t="str">
        <f>IF(C421="","",VLOOKUP('OPĆI DIO'!$C$3,'OPĆI DIO'!$L$6:$U$138,9,FALSE))</f>
        <v/>
      </c>
      <c r="C421" s="90"/>
      <c r="D421" s="85" t="str">
        <f t="shared" si="59"/>
        <v/>
      </c>
      <c r="E421" s="90"/>
      <c r="F421" s="85" t="str">
        <f t="shared" si="60"/>
        <v/>
      </c>
      <c r="G421" s="123"/>
      <c r="H421" s="85" t="str">
        <f t="shared" si="61"/>
        <v/>
      </c>
      <c r="I421" s="85" t="str">
        <f t="shared" si="62"/>
        <v/>
      </c>
      <c r="J421" s="122"/>
      <c r="K421" s="122"/>
      <c r="L421" s="122"/>
      <c r="M421" s="89"/>
      <c r="O421" t="str">
        <f t="shared" si="63"/>
        <v/>
      </c>
      <c r="P421" t="str">
        <f t="shared" si="64"/>
        <v/>
      </c>
      <c r="Q421" t="str">
        <f t="shared" si="65"/>
        <v/>
      </c>
      <c r="R421" t="str">
        <f t="shared" si="66"/>
        <v/>
      </c>
    </row>
    <row r="422" spans="1:18">
      <c r="A422" s="85" t="str">
        <f>IF(C422="","",VLOOKUP('OPĆI DIO'!$C$3,'OPĆI DIO'!$L$6:$U$138,10,FALSE))</f>
        <v/>
      </c>
      <c r="B422" s="85" t="str">
        <f>IF(C422="","",VLOOKUP('OPĆI DIO'!$C$3,'OPĆI DIO'!$L$6:$U$138,9,FALSE))</f>
        <v/>
      </c>
      <c r="C422" s="90"/>
      <c r="D422" s="85" t="str">
        <f t="shared" si="59"/>
        <v/>
      </c>
      <c r="E422" s="90"/>
      <c r="F422" s="85" t="str">
        <f t="shared" si="60"/>
        <v/>
      </c>
      <c r="G422" s="123"/>
      <c r="H422" s="85" t="str">
        <f t="shared" si="61"/>
        <v/>
      </c>
      <c r="I422" s="85" t="str">
        <f t="shared" si="62"/>
        <v/>
      </c>
      <c r="J422" s="122"/>
      <c r="K422" s="122"/>
      <c r="L422" s="122"/>
      <c r="M422" s="89"/>
      <c r="O422" t="str">
        <f t="shared" si="63"/>
        <v/>
      </c>
      <c r="P422" t="str">
        <f t="shared" si="64"/>
        <v/>
      </c>
      <c r="Q422" t="str">
        <f t="shared" si="65"/>
        <v/>
      </c>
      <c r="R422" t="str">
        <f t="shared" si="66"/>
        <v/>
      </c>
    </row>
    <row r="423" spans="1:18">
      <c r="A423" s="85" t="str">
        <f>IF(C423="","",VLOOKUP('OPĆI DIO'!$C$3,'OPĆI DIO'!$L$6:$U$138,10,FALSE))</f>
        <v/>
      </c>
      <c r="B423" s="85" t="str">
        <f>IF(C423="","",VLOOKUP('OPĆI DIO'!$C$3,'OPĆI DIO'!$L$6:$U$138,9,FALSE))</f>
        <v/>
      </c>
      <c r="C423" s="90"/>
      <c r="D423" s="85" t="str">
        <f t="shared" si="59"/>
        <v/>
      </c>
      <c r="E423" s="90"/>
      <c r="F423" s="85" t="str">
        <f t="shared" si="60"/>
        <v/>
      </c>
      <c r="G423" s="123"/>
      <c r="H423" s="85" t="str">
        <f t="shared" si="61"/>
        <v/>
      </c>
      <c r="I423" s="85" t="str">
        <f t="shared" si="62"/>
        <v/>
      </c>
      <c r="J423" s="122"/>
      <c r="K423" s="122"/>
      <c r="L423" s="122"/>
      <c r="M423" s="89"/>
      <c r="O423" t="str">
        <f t="shared" si="63"/>
        <v/>
      </c>
      <c r="P423" t="str">
        <f t="shared" si="64"/>
        <v/>
      </c>
      <c r="Q423" t="str">
        <f t="shared" si="65"/>
        <v/>
      </c>
      <c r="R423" t="str">
        <f t="shared" si="66"/>
        <v/>
      </c>
    </row>
    <row r="424" spans="1:18">
      <c r="A424" s="85" t="str">
        <f>IF(C424="","",VLOOKUP('OPĆI DIO'!$C$3,'OPĆI DIO'!$L$6:$U$138,10,FALSE))</f>
        <v/>
      </c>
      <c r="B424" s="85" t="str">
        <f>IF(C424="","",VLOOKUP('OPĆI DIO'!$C$3,'OPĆI DIO'!$L$6:$U$138,9,FALSE))</f>
        <v/>
      </c>
      <c r="C424" s="90"/>
      <c r="D424" s="85" t="str">
        <f t="shared" si="59"/>
        <v/>
      </c>
      <c r="E424" s="90"/>
      <c r="F424" s="85" t="str">
        <f t="shared" si="60"/>
        <v/>
      </c>
      <c r="G424" s="123"/>
      <c r="H424" s="85" t="str">
        <f t="shared" si="61"/>
        <v/>
      </c>
      <c r="I424" s="85" t="str">
        <f t="shared" si="62"/>
        <v/>
      </c>
      <c r="J424" s="122"/>
      <c r="K424" s="122"/>
      <c r="L424" s="122"/>
      <c r="M424" s="89"/>
      <c r="O424" t="str">
        <f t="shared" si="63"/>
        <v/>
      </c>
      <c r="P424" t="str">
        <f t="shared" si="64"/>
        <v/>
      </c>
      <c r="Q424" t="str">
        <f t="shared" si="65"/>
        <v/>
      </c>
      <c r="R424" t="str">
        <f t="shared" si="66"/>
        <v/>
      </c>
    </row>
    <row r="425" spans="1:18">
      <c r="A425" s="85" t="str">
        <f>IF(C425="","",VLOOKUP('OPĆI DIO'!$C$3,'OPĆI DIO'!$L$6:$U$138,10,FALSE))</f>
        <v/>
      </c>
      <c r="B425" s="85" t="str">
        <f>IF(C425="","",VLOOKUP('OPĆI DIO'!$C$3,'OPĆI DIO'!$L$6:$U$138,9,FALSE))</f>
        <v/>
      </c>
      <c r="C425" s="90"/>
      <c r="D425" s="85" t="str">
        <f t="shared" si="59"/>
        <v/>
      </c>
      <c r="E425" s="90"/>
      <c r="F425" s="85" t="str">
        <f t="shared" si="60"/>
        <v/>
      </c>
      <c r="G425" s="123"/>
      <c r="H425" s="85" t="str">
        <f t="shared" si="61"/>
        <v/>
      </c>
      <c r="I425" s="85" t="str">
        <f t="shared" si="62"/>
        <v/>
      </c>
      <c r="J425" s="122"/>
      <c r="K425" s="122"/>
      <c r="L425" s="122"/>
      <c r="M425" s="89"/>
      <c r="O425" t="str">
        <f t="shared" si="63"/>
        <v/>
      </c>
      <c r="P425" t="str">
        <f t="shared" si="64"/>
        <v/>
      </c>
      <c r="Q425" t="str">
        <f t="shared" si="65"/>
        <v/>
      </c>
      <c r="R425" t="str">
        <f t="shared" si="66"/>
        <v/>
      </c>
    </row>
    <row r="426" spans="1:18">
      <c r="A426" s="85" t="str">
        <f>IF(C426="","",VLOOKUP('OPĆI DIO'!$C$3,'OPĆI DIO'!$L$6:$U$138,10,FALSE))</f>
        <v/>
      </c>
      <c r="B426" s="85" t="str">
        <f>IF(C426="","",VLOOKUP('OPĆI DIO'!$C$3,'OPĆI DIO'!$L$6:$U$138,9,FALSE))</f>
        <v/>
      </c>
      <c r="C426" s="90"/>
      <c r="D426" s="85" t="str">
        <f t="shared" si="59"/>
        <v/>
      </c>
      <c r="E426" s="90"/>
      <c r="F426" s="85" t="str">
        <f t="shared" si="60"/>
        <v/>
      </c>
      <c r="G426" s="123"/>
      <c r="H426" s="85" t="str">
        <f t="shared" si="61"/>
        <v/>
      </c>
      <c r="I426" s="85" t="str">
        <f t="shared" si="62"/>
        <v/>
      </c>
      <c r="J426" s="122"/>
      <c r="K426" s="122"/>
      <c r="L426" s="122"/>
      <c r="M426" s="89"/>
      <c r="O426" t="str">
        <f t="shared" si="63"/>
        <v/>
      </c>
      <c r="P426" t="str">
        <f t="shared" si="64"/>
        <v/>
      </c>
      <c r="Q426" t="str">
        <f t="shared" si="65"/>
        <v/>
      </c>
      <c r="R426" t="str">
        <f t="shared" si="66"/>
        <v/>
      </c>
    </row>
    <row r="427" spans="1:18">
      <c r="A427" s="85" t="str">
        <f>IF(C427="","",VLOOKUP('OPĆI DIO'!$C$3,'OPĆI DIO'!$L$6:$U$138,10,FALSE))</f>
        <v/>
      </c>
      <c r="B427" s="85" t="str">
        <f>IF(C427="","",VLOOKUP('OPĆI DIO'!$C$3,'OPĆI DIO'!$L$6:$U$138,9,FALSE))</f>
        <v/>
      </c>
      <c r="C427" s="90"/>
      <c r="D427" s="85" t="str">
        <f t="shared" si="59"/>
        <v/>
      </c>
      <c r="E427" s="90"/>
      <c r="F427" s="85" t="str">
        <f t="shared" si="60"/>
        <v/>
      </c>
      <c r="G427" s="123"/>
      <c r="H427" s="85" t="str">
        <f t="shared" si="61"/>
        <v/>
      </c>
      <c r="I427" s="85" t="str">
        <f t="shared" si="62"/>
        <v/>
      </c>
      <c r="J427" s="122"/>
      <c r="K427" s="122"/>
      <c r="L427" s="122"/>
      <c r="M427" s="89"/>
      <c r="O427" t="str">
        <f t="shared" si="63"/>
        <v/>
      </c>
      <c r="P427" t="str">
        <f t="shared" si="64"/>
        <v/>
      </c>
      <c r="Q427" t="str">
        <f t="shared" si="65"/>
        <v/>
      </c>
      <c r="R427" t="str">
        <f t="shared" si="66"/>
        <v/>
      </c>
    </row>
    <row r="428" spans="1:18">
      <c r="A428" s="85" t="str">
        <f>IF(C428="","",VLOOKUP('OPĆI DIO'!$C$3,'OPĆI DIO'!$L$6:$U$138,10,FALSE))</f>
        <v/>
      </c>
      <c r="B428" s="85" t="str">
        <f>IF(C428="","",VLOOKUP('OPĆI DIO'!$C$3,'OPĆI DIO'!$L$6:$U$138,9,FALSE))</f>
        <v/>
      </c>
      <c r="C428" s="90"/>
      <c r="D428" s="85" t="str">
        <f t="shared" si="59"/>
        <v/>
      </c>
      <c r="E428" s="90"/>
      <c r="F428" s="85" t="str">
        <f t="shared" si="60"/>
        <v/>
      </c>
      <c r="G428" s="123"/>
      <c r="H428" s="85" t="str">
        <f t="shared" si="61"/>
        <v/>
      </c>
      <c r="I428" s="85" t="str">
        <f t="shared" si="62"/>
        <v/>
      </c>
      <c r="J428" s="122"/>
      <c r="K428" s="122"/>
      <c r="L428" s="122"/>
      <c r="M428" s="89"/>
      <c r="O428" t="str">
        <f t="shared" si="63"/>
        <v/>
      </c>
      <c r="P428" t="str">
        <f t="shared" si="64"/>
        <v/>
      </c>
      <c r="Q428" t="str">
        <f t="shared" si="65"/>
        <v/>
      </c>
      <c r="R428" t="str">
        <f t="shared" si="66"/>
        <v/>
      </c>
    </row>
    <row r="429" spans="1:18">
      <c r="A429" s="85" t="str">
        <f>IF(C429="","",VLOOKUP('OPĆI DIO'!$C$3,'OPĆI DIO'!$L$6:$U$138,10,FALSE))</f>
        <v/>
      </c>
      <c r="B429" s="85" t="str">
        <f>IF(C429="","",VLOOKUP('OPĆI DIO'!$C$3,'OPĆI DIO'!$L$6:$U$138,9,FALSE))</f>
        <v/>
      </c>
      <c r="C429" s="90"/>
      <c r="D429" s="85" t="str">
        <f t="shared" si="59"/>
        <v/>
      </c>
      <c r="E429" s="90"/>
      <c r="F429" s="85" t="str">
        <f t="shared" si="60"/>
        <v/>
      </c>
      <c r="G429" s="123"/>
      <c r="H429" s="85" t="str">
        <f t="shared" si="61"/>
        <v/>
      </c>
      <c r="I429" s="85" t="str">
        <f t="shared" si="62"/>
        <v/>
      </c>
      <c r="J429" s="122"/>
      <c r="K429" s="122"/>
      <c r="L429" s="122"/>
      <c r="M429" s="89"/>
      <c r="O429" t="str">
        <f t="shared" si="63"/>
        <v/>
      </c>
      <c r="P429" t="str">
        <f t="shared" si="64"/>
        <v/>
      </c>
      <c r="Q429" t="str">
        <f t="shared" si="65"/>
        <v/>
      </c>
      <c r="R429" t="str">
        <f t="shared" si="66"/>
        <v/>
      </c>
    </row>
    <row r="430" spans="1:18">
      <c r="A430" s="85" t="str">
        <f>IF(C430="","",VLOOKUP('OPĆI DIO'!$C$3,'OPĆI DIO'!$L$6:$U$138,10,FALSE))</f>
        <v/>
      </c>
      <c r="B430" s="85" t="str">
        <f>IF(C430="","",VLOOKUP('OPĆI DIO'!$C$3,'OPĆI DIO'!$L$6:$U$138,9,FALSE))</f>
        <v/>
      </c>
      <c r="C430" s="90"/>
      <c r="D430" s="85" t="str">
        <f t="shared" si="59"/>
        <v/>
      </c>
      <c r="E430" s="90"/>
      <c r="F430" s="85" t="str">
        <f t="shared" si="60"/>
        <v/>
      </c>
      <c r="G430" s="123"/>
      <c r="H430" s="85" t="str">
        <f t="shared" si="61"/>
        <v/>
      </c>
      <c r="I430" s="85" t="str">
        <f t="shared" si="62"/>
        <v/>
      </c>
      <c r="J430" s="122"/>
      <c r="K430" s="122"/>
      <c r="L430" s="122"/>
      <c r="M430" s="89"/>
      <c r="O430" t="str">
        <f t="shared" si="63"/>
        <v/>
      </c>
      <c r="P430" t="str">
        <f t="shared" si="64"/>
        <v/>
      </c>
      <c r="Q430" t="str">
        <f t="shared" si="65"/>
        <v/>
      </c>
      <c r="R430" t="str">
        <f t="shared" si="66"/>
        <v/>
      </c>
    </row>
    <row r="431" spans="1:18">
      <c r="A431" s="85" t="str">
        <f>IF(C431="","",VLOOKUP('OPĆI DIO'!$C$3,'OPĆI DIO'!$L$6:$U$138,10,FALSE))</f>
        <v/>
      </c>
      <c r="B431" s="85" t="str">
        <f>IF(C431="","",VLOOKUP('OPĆI DIO'!$C$3,'OPĆI DIO'!$L$6:$U$138,9,FALSE))</f>
        <v/>
      </c>
      <c r="C431" s="90"/>
      <c r="D431" s="85" t="str">
        <f t="shared" si="59"/>
        <v/>
      </c>
      <c r="E431" s="90"/>
      <c r="F431" s="85" t="str">
        <f t="shared" si="60"/>
        <v/>
      </c>
      <c r="G431" s="123"/>
      <c r="H431" s="85" t="str">
        <f t="shared" si="61"/>
        <v/>
      </c>
      <c r="I431" s="85" t="str">
        <f t="shared" si="62"/>
        <v/>
      </c>
      <c r="J431" s="122"/>
      <c r="K431" s="122"/>
      <c r="L431" s="122"/>
      <c r="M431" s="89"/>
      <c r="O431" t="str">
        <f t="shared" si="63"/>
        <v/>
      </c>
      <c r="P431" t="str">
        <f t="shared" si="64"/>
        <v/>
      </c>
      <c r="Q431" t="str">
        <f t="shared" si="65"/>
        <v/>
      </c>
      <c r="R431" t="str">
        <f t="shared" si="66"/>
        <v/>
      </c>
    </row>
    <row r="432" spans="1:18">
      <c r="A432" s="85" t="str">
        <f>IF(C432="","",VLOOKUP('OPĆI DIO'!$C$3,'OPĆI DIO'!$L$6:$U$138,10,FALSE))</f>
        <v/>
      </c>
      <c r="B432" s="85" t="str">
        <f>IF(C432="","",VLOOKUP('OPĆI DIO'!$C$3,'OPĆI DIO'!$L$6:$U$138,9,FALSE))</f>
        <v/>
      </c>
      <c r="C432" s="90"/>
      <c r="D432" s="85" t="str">
        <f t="shared" si="59"/>
        <v/>
      </c>
      <c r="E432" s="90"/>
      <c r="F432" s="85" t="str">
        <f t="shared" si="60"/>
        <v/>
      </c>
      <c r="G432" s="123"/>
      <c r="H432" s="85" t="str">
        <f t="shared" si="61"/>
        <v/>
      </c>
      <c r="I432" s="85" t="str">
        <f t="shared" si="62"/>
        <v/>
      </c>
      <c r="J432" s="122"/>
      <c r="K432" s="122"/>
      <c r="L432" s="122"/>
      <c r="M432" s="89"/>
      <c r="O432" t="str">
        <f t="shared" si="63"/>
        <v/>
      </c>
      <c r="P432" t="str">
        <f t="shared" si="64"/>
        <v/>
      </c>
      <c r="Q432" t="str">
        <f t="shared" si="65"/>
        <v/>
      </c>
      <c r="R432" t="str">
        <f t="shared" si="66"/>
        <v/>
      </c>
    </row>
    <row r="433" spans="1:18">
      <c r="A433" s="85" t="str">
        <f>IF(C433="","",VLOOKUP('OPĆI DIO'!$C$3,'OPĆI DIO'!$L$6:$U$138,10,FALSE))</f>
        <v/>
      </c>
      <c r="B433" s="85" t="str">
        <f>IF(C433="","",VLOOKUP('OPĆI DIO'!$C$3,'OPĆI DIO'!$L$6:$U$138,9,FALSE))</f>
        <v/>
      </c>
      <c r="C433" s="90"/>
      <c r="D433" s="85" t="str">
        <f t="shared" si="59"/>
        <v/>
      </c>
      <c r="E433" s="90"/>
      <c r="F433" s="85" t="str">
        <f t="shared" si="60"/>
        <v/>
      </c>
      <c r="G433" s="123"/>
      <c r="H433" s="85" t="str">
        <f t="shared" si="61"/>
        <v/>
      </c>
      <c r="I433" s="85" t="str">
        <f t="shared" si="62"/>
        <v/>
      </c>
      <c r="J433" s="122"/>
      <c r="K433" s="122"/>
      <c r="L433" s="122"/>
      <c r="M433" s="89"/>
      <c r="O433" t="str">
        <f t="shared" si="63"/>
        <v/>
      </c>
      <c r="P433" t="str">
        <f t="shared" si="64"/>
        <v/>
      </c>
      <c r="Q433" t="str">
        <f t="shared" si="65"/>
        <v/>
      </c>
      <c r="R433" t="str">
        <f t="shared" si="66"/>
        <v/>
      </c>
    </row>
    <row r="434" spans="1:18">
      <c r="A434" s="85" t="str">
        <f>IF(C434="","",VLOOKUP('OPĆI DIO'!$C$3,'OPĆI DIO'!$L$6:$U$138,10,FALSE))</f>
        <v/>
      </c>
      <c r="B434" s="85" t="str">
        <f>IF(C434="","",VLOOKUP('OPĆI DIO'!$C$3,'OPĆI DIO'!$L$6:$U$138,9,FALSE))</f>
        <v/>
      </c>
      <c r="C434" s="90"/>
      <c r="D434" s="85" t="str">
        <f t="shared" si="59"/>
        <v/>
      </c>
      <c r="E434" s="90"/>
      <c r="F434" s="85" t="str">
        <f t="shared" si="60"/>
        <v/>
      </c>
      <c r="G434" s="123"/>
      <c r="H434" s="85" t="str">
        <f t="shared" si="61"/>
        <v/>
      </c>
      <c r="I434" s="85" t="str">
        <f t="shared" si="62"/>
        <v/>
      </c>
      <c r="J434" s="122"/>
      <c r="K434" s="122"/>
      <c r="L434" s="122"/>
      <c r="M434" s="89"/>
      <c r="O434" t="str">
        <f t="shared" si="63"/>
        <v/>
      </c>
      <c r="P434" t="str">
        <f t="shared" si="64"/>
        <v/>
      </c>
      <c r="Q434" t="str">
        <f t="shared" si="65"/>
        <v/>
      </c>
      <c r="R434" t="str">
        <f t="shared" si="66"/>
        <v/>
      </c>
    </row>
    <row r="435" spans="1:18">
      <c r="A435" s="85" t="str">
        <f>IF(C435="","",VLOOKUP('OPĆI DIO'!$C$3,'OPĆI DIO'!$L$6:$U$138,10,FALSE))</f>
        <v/>
      </c>
      <c r="B435" s="85" t="str">
        <f>IF(C435="","",VLOOKUP('OPĆI DIO'!$C$3,'OPĆI DIO'!$L$6:$U$138,9,FALSE))</f>
        <v/>
      </c>
      <c r="C435" s="90"/>
      <c r="D435" s="85" t="str">
        <f t="shared" si="59"/>
        <v/>
      </c>
      <c r="E435" s="90"/>
      <c r="F435" s="85" t="str">
        <f t="shared" si="60"/>
        <v/>
      </c>
      <c r="G435" s="123"/>
      <c r="H435" s="85" t="str">
        <f t="shared" si="61"/>
        <v/>
      </c>
      <c r="I435" s="85" t="str">
        <f t="shared" si="62"/>
        <v/>
      </c>
      <c r="J435" s="122"/>
      <c r="K435" s="122"/>
      <c r="L435" s="122"/>
      <c r="M435" s="89"/>
      <c r="O435" t="str">
        <f t="shared" si="63"/>
        <v/>
      </c>
      <c r="P435" t="str">
        <f t="shared" si="64"/>
        <v/>
      </c>
      <c r="Q435" t="str">
        <f t="shared" si="65"/>
        <v/>
      </c>
      <c r="R435" t="str">
        <f t="shared" si="66"/>
        <v/>
      </c>
    </row>
    <row r="436" spans="1:18">
      <c r="A436" s="85" t="str">
        <f>IF(C436="","",VLOOKUP('OPĆI DIO'!$C$3,'OPĆI DIO'!$L$6:$U$138,10,FALSE))</f>
        <v/>
      </c>
      <c r="B436" s="85" t="str">
        <f>IF(C436="","",VLOOKUP('OPĆI DIO'!$C$3,'OPĆI DIO'!$L$6:$U$138,9,FALSE))</f>
        <v/>
      </c>
      <c r="C436" s="90"/>
      <c r="D436" s="85" t="str">
        <f t="shared" si="59"/>
        <v/>
      </c>
      <c r="E436" s="90"/>
      <c r="F436" s="85" t="str">
        <f t="shared" si="60"/>
        <v/>
      </c>
      <c r="G436" s="123"/>
      <c r="H436" s="85" t="str">
        <f t="shared" si="61"/>
        <v/>
      </c>
      <c r="I436" s="85" t="str">
        <f t="shared" si="62"/>
        <v/>
      </c>
      <c r="J436" s="122"/>
      <c r="K436" s="122"/>
      <c r="L436" s="122"/>
      <c r="M436" s="89"/>
      <c r="O436" t="str">
        <f t="shared" si="63"/>
        <v/>
      </c>
      <c r="P436" t="str">
        <f t="shared" si="64"/>
        <v/>
      </c>
      <c r="Q436" t="str">
        <f t="shared" si="65"/>
        <v/>
      </c>
      <c r="R436" t="str">
        <f t="shared" si="66"/>
        <v/>
      </c>
    </row>
    <row r="437" spans="1:18">
      <c r="A437" s="85" t="str">
        <f>IF(C437="","",VLOOKUP('OPĆI DIO'!$C$3,'OPĆI DIO'!$L$6:$U$138,10,FALSE))</f>
        <v/>
      </c>
      <c r="B437" s="85" t="str">
        <f>IF(C437="","",VLOOKUP('OPĆI DIO'!$C$3,'OPĆI DIO'!$L$6:$U$138,9,FALSE))</f>
        <v/>
      </c>
      <c r="C437" s="90"/>
      <c r="D437" s="85" t="str">
        <f t="shared" si="59"/>
        <v/>
      </c>
      <c r="E437" s="90"/>
      <c r="F437" s="85" t="str">
        <f t="shared" si="60"/>
        <v/>
      </c>
      <c r="G437" s="123"/>
      <c r="H437" s="85" t="str">
        <f t="shared" si="61"/>
        <v/>
      </c>
      <c r="I437" s="85" t="str">
        <f t="shared" si="62"/>
        <v/>
      </c>
      <c r="J437" s="122"/>
      <c r="K437" s="122"/>
      <c r="L437" s="122"/>
      <c r="M437" s="89"/>
      <c r="O437" t="str">
        <f t="shared" si="63"/>
        <v/>
      </c>
      <c r="P437" t="str">
        <f t="shared" si="64"/>
        <v/>
      </c>
      <c r="Q437" t="str">
        <f t="shared" si="65"/>
        <v/>
      </c>
      <c r="R437" t="str">
        <f t="shared" si="66"/>
        <v/>
      </c>
    </row>
    <row r="438" spans="1:18">
      <c r="A438" s="85" t="str">
        <f>IF(C438="","",VLOOKUP('OPĆI DIO'!$C$3,'OPĆI DIO'!$L$6:$U$138,10,FALSE))</f>
        <v/>
      </c>
      <c r="B438" s="85" t="str">
        <f>IF(C438="","",VLOOKUP('OPĆI DIO'!$C$3,'OPĆI DIO'!$L$6:$U$138,9,FALSE))</f>
        <v/>
      </c>
      <c r="C438" s="90"/>
      <c r="D438" s="85" t="str">
        <f t="shared" si="59"/>
        <v/>
      </c>
      <c r="E438" s="90"/>
      <c r="F438" s="85" t="str">
        <f t="shared" si="60"/>
        <v/>
      </c>
      <c r="G438" s="123"/>
      <c r="H438" s="85" t="str">
        <f t="shared" si="61"/>
        <v/>
      </c>
      <c r="I438" s="85" t="str">
        <f t="shared" si="62"/>
        <v/>
      </c>
      <c r="J438" s="122"/>
      <c r="K438" s="122"/>
      <c r="L438" s="122"/>
      <c r="M438" s="89"/>
      <c r="O438" t="str">
        <f t="shared" si="63"/>
        <v/>
      </c>
      <c r="P438" t="str">
        <f t="shared" si="64"/>
        <v/>
      </c>
      <c r="Q438" t="str">
        <f t="shared" si="65"/>
        <v/>
      </c>
      <c r="R438" t="str">
        <f t="shared" si="66"/>
        <v/>
      </c>
    </row>
    <row r="439" spans="1:18">
      <c r="A439" s="85" t="str">
        <f>IF(C439="","",VLOOKUP('OPĆI DIO'!$C$3,'OPĆI DIO'!$L$6:$U$138,10,FALSE))</f>
        <v/>
      </c>
      <c r="B439" s="85" t="str">
        <f>IF(C439="","",VLOOKUP('OPĆI DIO'!$C$3,'OPĆI DIO'!$L$6:$U$138,9,FALSE))</f>
        <v/>
      </c>
      <c r="C439" s="90"/>
      <c r="D439" s="85" t="str">
        <f t="shared" si="59"/>
        <v/>
      </c>
      <c r="E439" s="90"/>
      <c r="F439" s="85" t="str">
        <f t="shared" si="60"/>
        <v/>
      </c>
      <c r="G439" s="123"/>
      <c r="H439" s="85" t="str">
        <f t="shared" si="61"/>
        <v/>
      </c>
      <c r="I439" s="85" t="str">
        <f t="shared" si="62"/>
        <v/>
      </c>
      <c r="J439" s="122"/>
      <c r="K439" s="122"/>
      <c r="L439" s="122"/>
      <c r="M439" s="89"/>
      <c r="O439" t="str">
        <f t="shared" si="63"/>
        <v/>
      </c>
      <c r="P439" t="str">
        <f t="shared" si="64"/>
        <v/>
      </c>
      <c r="Q439" t="str">
        <f t="shared" si="65"/>
        <v/>
      </c>
      <c r="R439" t="str">
        <f t="shared" si="66"/>
        <v/>
      </c>
    </row>
    <row r="440" spans="1:18">
      <c r="A440" s="85" t="str">
        <f>IF(C440="","",VLOOKUP('OPĆI DIO'!$C$3,'OPĆI DIO'!$L$6:$U$138,10,FALSE))</f>
        <v/>
      </c>
      <c r="B440" s="85" t="str">
        <f>IF(C440="","",VLOOKUP('OPĆI DIO'!$C$3,'OPĆI DIO'!$L$6:$U$138,9,FALSE))</f>
        <v/>
      </c>
      <c r="C440" s="90"/>
      <c r="D440" s="85" t="str">
        <f t="shared" si="59"/>
        <v/>
      </c>
      <c r="E440" s="90"/>
      <c r="F440" s="85" t="str">
        <f t="shared" si="60"/>
        <v/>
      </c>
      <c r="G440" s="123"/>
      <c r="H440" s="85" t="str">
        <f t="shared" si="61"/>
        <v/>
      </c>
      <c r="I440" s="85" t="str">
        <f t="shared" si="62"/>
        <v/>
      </c>
      <c r="J440" s="122"/>
      <c r="K440" s="122"/>
      <c r="L440" s="122"/>
      <c r="M440" s="89"/>
      <c r="O440" t="str">
        <f t="shared" si="63"/>
        <v/>
      </c>
      <c r="P440" t="str">
        <f t="shared" si="64"/>
        <v/>
      </c>
      <c r="Q440" t="str">
        <f t="shared" si="65"/>
        <v/>
      </c>
      <c r="R440" t="str">
        <f t="shared" si="66"/>
        <v/>
      </c>
    </row>
    <row r="441" spans="1:18">
      <c r="A441" s="85" t="str">
        <f>IF(C441="","",VLOOKUP('OPĆI DIO'!$C$3,'OPĆI DIO'!$L$6:$U$138,10,FALSE))</f>
        <v/>
      </c>
      <c r="B441" s="85" t="str">
        <f>IF(C441="","",VLOOKUP('OPĆI DIO'!$C$3,'OPĆI DIO'!$L$6:$U$138,9,FALSE))</f>
        <v/>
      </c>
      <c r="C441" s="90"/>
      <c r="D441" s="85" t="str">
        <f t="shared" si="59"/>
        <v/>
      </c>
      <c r="E441" s="90"/>
      <c r="F441" s="85" t="str">
        <f t="shared" si="60"/>
        <v/>
      </c>
      <c r="G441" s="123"/>
      <c r="H441" s="85" t="str">
        <f t="shared" si="61"/>
        <v/>
      </c>
      <c r="I441" s="85" t="str">
        <f t="shared" si="62"/>
        <v/>
      </c>
      <c r="J441" s="122"/>
      <c r="K441" s="122"/>
      <c r="L441" s="122"/>
      <c r="M441" s="89"/>
      <c r="O441" t="str">
        <f t="shared" si="63"/>
        <v/>
      </c>
      <c r="P441" t="str">
        <f t="shared" si="64"/>
        <v/>
      </c>
      <c r="Q441" t="str">
        <f t="shared" si="65"/>
        <v/>
      </c>
      <c r="R441" t="str">
        <f t="shared" si="66"/>
        <v/>
      </c>
    </row>
    <row r="442" spans="1:18">
      <c r="A442" s="85" t="str">
        <f>IF(C442="","",VLOOKUP('OPĆI DIO'!$C$3,'OPĆI DIO'!$L$6:$U$138,10,FALSE))</f>
        <v/>
      </c>
      <c r="B442" s="85" t="str">
        <f>IF(C442="","",VLOOKUP('OPĆI DIO'!$C$3,'OPĆI DIO'!$L$6:$U$138,9,FALSE))</f>
        <v/>
      </c>
      <c r="C442" s="90"/>
      <c r="D442" s="85" t="str">
        <f t="shared" si="59"/>
        <v/>
      </c>
      <c r="E442" s="90"/>
      <c r="F442" s="85" t="str">
        <f t="shared" si="60"/>
        <v/>
      </c>
      <c r="G442" s="123"/>
      <c r="H442" s="85" t="str">
        <f t="shared" si="61"/>
        <v/>
      </c>
      <c r="I442" s="85" t="str">
        <f t="shared" si="62"/>
        <v/>
      </c>
      <c r="J442" s="122"/>
      <c r="K442" s="122"/>
      <c r="L442" s="122"/>
      <c r="M442" s="89"/>
      <c r="O442" t="str">
        <f t="shared" si="63"/>
        <v/>
      </c>
      <c r="P442" t="str">
        <f t="shared" si="64"/>
        <v/>
      </c>
      <c r="Q442" t="str">
        <f t="shared" si="65"/>
        <v/>
      </c>
      <c r="R442" t="str">
        <f t="shared" si="66"/>
        <v/>
      </c>
    </row>
    <row r="443" spans="1:18">
      <c r="A443" s="85" t="str">
        <f>IF(C443="","",VLOOKUP('OPĆI DIO'!$C$3,'OPĆI DIO'!$L$6:$U$138,10,FALSE))</f>
        <v/>
      </c>
      <c r="B443" s="85" t="str">
        <f>IF(C443="","",VLOOKUP('OPĆI DIO'!$C$3,'OPĆI DIO'!$L$6:$U$138,9,FALSE))</f>
        <v/>
      </c>
      <c r="C443" s="90"/>
      <c r="D443" s="85" t="str">
        <f t="shared" si="59"/>
        <v/>
      </c>
      <c r="E443" s="90"/>
      <c r="F443" s="85" t="str">
        <f t="shared" si="60"/>
        <v/>
      </c>
      <c r="G443" s="123"/>
      <c r="H443" s="85" t="str">
        <f t="shared" si="61"/>
        <v/>
      </c>
      <c r="I443" s="85" t="str">
        <f t="shared" si="62"/>
        <v/>
      </c>
      <c r="J443" s="122"/>
      <c r="K443" s="122"/>
      <c r="L443" s="122"/>
      <c r="M443" s="89"/>
      <c r="O443" t="str">
        <f t="shared" si="63"/>
        <v/>
      </c>
      <c r="P443" t="str">
        <f t="shared" si="64"/>
        <v/>
      </c>
      <c r="Q443" t="str">
        <f t="shared" si="65"/>
        <v/>
      </c>
      <c r="R443" t="str">
        <f t="shared" si="66"/>
        <v/>
      </c>
    </row>
    <row r="444" spans="1:18">
      <c r="A444" s="85" t="str">
        <f>IF(C444="","",VLOOKUP('OPĆI DIO'!$C$3,'OPĆI DIO'!$L$6:$U$138,10,FALSE))</f>
        <v/>
      </c>
      <c r="B444" s="85" t="str">
        <f>IF(C444="","",VLOOKUP('OPĆI DIO'!$C$3,'OPĆI DIO'!$L$6:$U$138,9,FALSE))</f>
        <v/>
      </c>
      <c r="C444" s="90"/>
      <c r="D444" s="85" t="str">
        <f t="shared" si="59"/>
        <v/>
      </c>
      <c r="E444" s="90"/>
      <c r="F444" s="85" t="str">
        <f t="shared" si="60"/>
        <v/>
      </c>
      <c r="G444" s="123"/>
      <c r="H444" s="85" t="str">
        <f t="shared" si="61"/>
        <v/>
      </c>
      <c r="I444" s="85" t="str">
        <f t="shared" si="62"/>
        <v/>
      </c>
      <c r="J444" s="122"/>
      <c r="K444" s="122"/>
      <c r="L444" s="122"/>
      <c r="M444" s="89"/>
      <c r="O444" t="str">
        <f t="shared" si="63"/>
        <v/>
      </c>
      <c r="P444" t="str">
        <f t="shared" si="64"/>
        <v/>
      </c>
      <c r="Q444" t="str">
        <f t="shared" si="65"/>
        <v/>
      </c>
      <c r="R444" t="str">
        <f t="shared" si="66"/>
        <v/>
      </c>
    </row>
    <row r="445" spans="1:18">
      <c r="A445" s="85" t="str">
        <f>IF(C445="","",VLOOKUP('OPĆI DIO'!$C$3,'OPĆI DIO'!$L$6:$U$138,10,FALSE))</f>
        <v/>
      </c>
      <c r="B445" s="85" t="str">
        <f>IF(C445="","",VLOOKUP('OPĆI DIO'!$C$3,'OPĆI DIO'!$L$6:$U$138,9,FALSE))</f>
        <v/>
      </c>
      <c r="C445" s="90"/>
      <c r="D445" s="85" t="str">
        <f t="shared" si="59"/>
        <v/>
      </c>
      <c r="E445" s="90"/>
      <c r="F445" s="85" t="str">
        <f t="shared" si="60"/>
        <v/>
      </c>
      <c r="G445" s="123"/>
      <c r="H445" s="85" t="str">
        <f t="shared" si="61"/>
        <v/>
      </c>
      <c r="I445" s="85" t="str">
        <f t="shared" si="62"/>
        <v/>
      </c>
      <c r="J445" s="122"/>
      <c r="K445" s="122"/>
      <c r="L445" s="122"/>
      <c r="M445" s="89"/>
      <c r="O445" t="str">
        <f t="shared" si="63"/>
        <v/>
      </c>
      <c r="P445" t="str">
        <f t="shared" si="64"/>
        <v/>
      </c>
      <c r="Q445" t="str">
        <f t="shared" si="65"/>
        <v/>
      </c>
      <c r="R445" t="str">
        <f t="shared" si="66"/>
        <v/>
      </c>
    </row>
    <row r="446" spans="1:18">
      <c r="A446" s="85" t="str">
        <f>IF(C446="","",VLOOKUP('OPĆI DIO'!$C$3,'OPĆI DIO'!$L$6:$U$138,10,FALSE))</f>
        <v/>
      </c>
      <c r="B446" s="85" t="str">
        <f>IF(C446="","",VLOOKUP('OPĆI DIO'!$C$3,'OPĆI DIO'!$L$6:$U$138,9,FALSE))</f>
        <v/>
      </c>
      <c r="C446" s="90"/>
      <c r="D446" s="85" t="str">
        <f t="shared" si="59"/>
        <v/>
      </c>
      <c r="E446" s="90"/>
      <c r="F446" s="85" t="str">
        <f t="shared" si="60"/>
        <v/>
      </c>
      <c r="G446" s="123"/>
      <c r="H446" s="85" t="str">
        <f t="shared" si="61"/>
        <v/>
      </c>
      <c r="I446" s="85" t="str">
        <f t="shared" si="62"/>
        <v/>
      </c>
      <c r="J446" s="122"/>
      <c r="K446" s="122"/>
      <c r="L446" s="122"/>
      <c r="M446" s="89"/>
      <c r="O446" t="str">
        <f t="shared" si="63"/>
        <v/>
      </c>
      <c r="P446" t="str">
        <f t="shared" si="64"/>
        <v/>
      </c>
      <c r="Q446" t="str">
        <f t="shared" si="65"/>
        <v/>
      </c>
      <c r="R446" t="str">
        <f t="shared" si="66"/>
        <v/>
      </c>
    </row>
    <row r="447" spans="1:18">
      <c r="A447" s="85" t="str">
        <f>IF(C447="","",VLOOKUP('OPĆI DIO'!$C$3,'OPĆI DIO'!$L$6:$U$138,10,FALSE))</f>
        <v/>
      </c>
      <c r="B447" s="85" t="str">
        <f>IF(C447="","",VLOOKUP('OPĆI DIO'!$C$3,'OPĆI DIO'!$L$6:$U$138,9,FALSE))</f>
        <v/>
      </c>
      <c r="C447" s="90"/>
      <c r="D447" s="85" t="str">
        <f t="shared" si="59"/>
        <v/>
      </c>
      <c r="E447" s="90"/>
      <c r="F447" s="85" t="str">
        <f t="shared" si="60"/>
        <v/>
      </c>
      <c r="G447" s="123"/>
      <c r="H447" s="85" t="str">
        <f t="shared" si="61"/>
        <v/>
      </c>
      <c r="I447" s="85" t="str">
        <f t="shared" si="62"/>
        <v/>
      </c>
      <c r="J447" s="122"/>
      <c r="K447" s="122"/>
      <c r="L447" s="122"/>
      <c r="M447" s="89"/>
      <c r="O447" t="str">
        <f t="shared" si="63"/>
        <v/>
      </c>
      <c r="P447" t="str">
        <f t="shared" si="64"/>
        <v/>
      </c>
      <c r="Q447" t="str">
        <f t="shared" si="65"/>
        <v/>
      </c>
      <c r="R447" t="str">
        <f t="shared" si="66"/>
        <v/>
      </c>
    </row>
    <row r="448" spans="1:18">
      <c r="A448" s="85" t="str">
        <f>IF(C448="","",VLOOKUP('OPĆI DIO'!$C$3,'OPĆI DIO'!$L$6:$U$138,10,FALSE))</f>
        <v/>
      </c>
      <c r="B448" s="85" t="str">
        <f>IF(C448="","",VLOOKUP('OPĆI DIO'!$C$3,'OPĆI DIO'!$L$6:$U$138,9,FALSE))</f>
        <v/>
      </c>
      <c r="C448" s="90"/>
      <c r="D448" s="85" t="str">
        <f t="shared" si="59"/>
        <v/>
      </c>
      <c r="E448" s="90"/>
      <c r="F448" s="85" t="str">
        <f t="shared" si="60"/>
        <v/>
      </c>
      <c r="G448" s="123"/>
      <c r="H448" s="85" t="str">
        <f t="shared" si="61"/>
        <v/>
      </c>
      <c r="I448" s="85" t="str">
        <f t="shared" si="62"/>
        <v/>
      </c>
      <c r="J448" s="122"/>
      <c r="K448" s="122"/>
      <c r="L448" s="122"/>
      <c r="M448" s="89"/>
      <c r="O448" t="str">
        <f t="shared" si="63"/>
        <v/>
      </c>
      <c r="P448" t="str">
        <f t="shared" si="64"/>
        <v/>
      </c>
      <c r="Q448" t="str">
        <f t="shared" si="65"/>
        <v/>
      </c>
      <c r="R448" t="str">
        <f t="shared" si="66"/>
        <v/>
      </c>
    </row>
    <row r="449" spans="1:18">
      <c r="A449" s="85" t="str">
        <f>IF(C449="","",VLOOKUP('OPĆI DIO'!$C$3,'OPĆI DIO'!$L$6:$U$138,10,FALSE))</f>
        <v/>
      </c>
      <c r="B449" s="85" t="str">
        <f>IF(C449="","",VLOOKUP('OPĆI DIO'!$C$3,'OPĆI DIO'!$L$6:$U$138,9,FALSE))</f>
        <v/>
      </c>
      <c r="C449" s="90"/>
      <c r="D449" s="85" t="str">
        <f t="shared" si="59"/>
        <v/>
      </c>
      <c r="E449" s="90"/>
      <c r="F449" s="85" t="str">
        <f t="shared" si="60"/>
        <v/>
      </c>
      <c r="G449" s="123"/>
      <c r="H449" s="85" t="str">
        <f t="shared" si="61"/>
        <v/>
      </c>
      <c r="I449" s="85" t="str">
        <f t="shared" si="62"/>
        <v/>
      </c>
      <c r="J449" s="122"/>
      <c r="K449" s="122"/>
      <c r="L449" s="122"/>
      <c r="M449" s="89"/>
      <c r="O449" t="str">
        <f t="shared" si="63"/>
        <v/>
      </c>
      <c r="P449" t="str">
        <f t="shared" si="64"/>
        <v/>
      </c>
      <c r="Q449" t="str">
        <f t="shared" si="65"/>
        <v/>
      </c>
      <c r="R449" t="str">
        <f t="shared" si="66"/>
        <v/>
      </c>
    </row>
    <row r="450" spans="1:18">
      <c r="A450" s="85" t="str">
        <f>IF(C450="","",VLOOKUP('OPĆI DIO'!$C$3,'OPĆI DIO'!$L$6:$U$138,10,FALSE))</f>
        <v/>
      </c>
      <c r="B450" s="85" t="str">
        <f>IF(C450="","",VLOOKUP('OPĆI DIO'!$C$3,'OPĆI DIO'!$L$6:$U$138,9,FALSE))</f>
        <v/>
      </c>
      <c r="C450" s="90"/>
      <c r="D450" s="85" t="str">
        <f t="shared" si="59"/>
        <v/>
      </c>
      <c r="E450" s="90"/>
      <c r="F450" s="85" t="str">
        <f t="shared" si="60"/>
        <v/>
      </c>
      <c r="G450" s="123"/>
      <c r="H450" s="85" t="str">
        <f t="shared" si="61"/>
        <v/>
      </c>
      <c r="I450" s="85" t="str">
        <f t="shared" si="62"/>
        <v/>
      </c>
      <c r="J450" s="122"/>
      <c r="K450" s="122"/>
      <c r="L450" s="122"/>
      <c r="M450" s="89"/>
      <c r="O450" t="str">
        <f t="shared" si="63"/>
        <v/>
      </c>
      <c r="P450" t="str">
        <f t="shared" si="64"/>
        <v/>
      </c>
      <c r="Q450" t="str">
        <f t="shared" si="65"/>
        <v/>
      </c>
      <c r="R450" t="str">
        <f t="shared" si="66"/>
        <v/>
      </c>
    </row>
    <row r="451" spans="1:18">
      <c r="A451" s="85" t="str">
        <f>IF(C451="","",VLOOKUP('OPĆI DIO'!$C$3,'OPĆI DIO'!$L$6:$U$138,10,FALSE))</f>
        <v/>
      </c>
      <c r="B451" s="85" t="str">
        <f>IF(C451="","",VLOOKUP('OPĆI DIO'!$C$3,'OPĆI DIO'!$L$6:$U$138,9,FALSE))</f>
        <v/>
      </c>
      <c r="C451" s="90"/>
      <c r="D451" s="85" t="str">
        <f t="shared" ref="D451:D501" si="67">IFERROR(VLOOKUP(C451,$S$6:$T$24,2,FALSE),"")</f>
        <v/>
      </c>
      <c r="E451" s="90"/>
      <c r="F451" s="85" t="str">
        <f t="shared" si="60"/>
        <v/>
      </c>
      <c r="G451" s="123"/>
      <c r="H451" s="85" t="str">
        <f t="shared" si="61"/>
        <v/>
      </c>
      <c r="I451" s="85" t="str">
        <f t="shared" si="62"/>
        <v/>
      </c>
      <c r="J451" s="122"/>
      <c r="K451" s="122"/>
      <c r="L451" s="122"/>
      <c r="M451" s="89"/>
      <c r="O451" t="str">
        <f t="shared" si="63"/>
        <v/>
      </c>
      <c r="P451" t="str">
        <f t="shared" si="64"/>
        <v/>
      </c>
      <c r="Q451" t="str">
        <f t="shared" si="65"/>
        <v/>
      </c>
      <c r="R451" t="str">
        <f t="shared" si="66"/>
        <v/>
      </c>
    </row>
    <row r="452" spans="1:18">
      <c r="A452" s="85" t="str">
        <f>IF(C452="","",VLOOKUP('OPĆI DIO'!$C$3,'OPĆI DIO'!$L$6:$U$138,10,FALSE))</f>
        <v/>
      </c>
      <c r="B452" s="85" t="str">
        <f>IF(C452="","",VLOOKUP('OPĆI DIO'!$C$3,'OPĆI DIO'!$L$6:$U$138,9,FALSE))</f>
        <v/>
      </c>
      <c r="C452" s="90"/>
      <c r="D452" s="85" t="str">
        <f t="shared" si="67"/>
        <v/>
      </c>
      <c r="E452" s="90"/>
      <c r="F452" s="85" t="str">
        <f t="shared" ref="F452:F501" si="68">IFERROR(VLOOKUP(E452,$V$5:$X$129,2,FALSE),"")</f>
        <v/>
      </c>
      <c r="G452" s="123"/>
      <c r="H452" s="85" t="str">
        <f t="shared" ref="H452:H501" si="69">IFERROR(VLOOKUP(G452,$AB$6:$AC$327,2,FALSE),"")</f>
        <v/>
      </c>
      <c r="I452" s="85" t="str">
        <f t="shared" ref="I452:I501" si="70">IFERROR(VLOOKUP(G452,$AB$6:$AF$327,3,FALSE),"")</f>
        <v/>
      </c>
      <c r="J452" s="122"/>
      <c r="K452" s="122"/>
      <c r="L452" s="122"/>
      <c r="M452" s="89"/>
      <c r="O452" t="str">
        <f t="shared" ref="O452:O501" si="71">LEFT(E452,3)</f>
        <v/>
      </c>
      <c r="P452" t="str">
        <f t="shared" ref="P452:P501" si="72">LEFT(E452,2)</f>
        <v/>
      </c>
      <c r="Q452" t="str">
        <f t="shared" ref="Q452:Q501" si="73">LEFT(C452,3)</f>
        <v/>
      </c>
      <c r="R452" t="str">
        <f t="shared" ref="R452:R501" si="74">MID(I452,2,2)</f>
        <v/>
      </c>
    </row>
    <row r="453" spans="1:18">
      <c r="A453" s="85" t="str">
        <f>IF(C453="","",VLOOKUP('OPĆI DIO'!$C$3,'OPĆI DIO'!$L$6:$U$138,10,FALSE))</f>
        <v/>
      </c>
      <c r="B453" s="85" t="str">
        <f>IF(C453="","",VLOOKUP('OPĆI DIO'!$C$3,'OPĆI DIO'!$L$6:$U$138,9,FALSE))</f>
        <v/>
      </c>
      <c r="C453" s="90"/>
      <c r="D453" s="85" t="str">
        <f t="shared" si="67"/>
        <v/>
      </c>
      <c r="E453" s="90"/>
      <c r="F453" s="85" t="str">
        <f t="shared" si="68"/>
        <v/>
      </c>
      <c r="G453" s="123"/>
      <c r="H453" s="85" t="str">
        <f t="shared" si="69"/>
        <v/>
      </c>
      <c r="I453" s="85" t="str">
        <f t="shared" si="70"/>
        <v/>
      </c>
      <c r="J453" s="122"/>
      <c r="K453" s="122"/>
      <c r="L453" s="122"/>
      <c r="M453" s="89"/>
      <c r="O453" t="str">
        <f t="shared" si="71"/>
        <v/>
      </c>
      <c r="P453" t="str">
        <f t="shared" si="72"/>
        <v/>
      </c>
      <c r="Q453" t="str">
        <f t="shared" si="73"/>
        <v/>
      </c>
      <c r="R453" t="str">
        <f t="shared" si="74"/>
        <v/>
      </c>
    </row>
    <row r="454" spans="1:18">
      <c r="A454" s="85" t="str">
        <f>IF(C454="","",VLOOKUP('OPĆI DIO'!$C$3,'OPĆI DIO'!$L$6:$U$138,10,FALSE))</f>
        <v/>
      </c>
      <c r="B454" s="85" t="str">
        <f>IF(C454="","",VLOOKUP('OPĆI DIO'!$C$3,'OPĆI DIO'!$L$6:$U$138,9,FALSE))</f>
        <v/>
      </c>
      <c r="C454" s="90"/>
      <c r="D454" s="85" t="str">
        <f t="shared" si="67"/>
        <v/>
      </c>
      <c r="E454" s="90"/>
      <c r="F454" s="85" t="str">
        <f t="shared" si="68"/>
        <v/>
      </c>
      <c r="G454" s="123"/>
      <c r="H454" s="85" t="str">
        <f t="shared" si="69"/>
        <v/>
      </c>
      <c r="I454" s="85" t="str">
        <f t="shared" si="70"/>
        <v/>
      </c>
      <c r="J454" s="122"/>
      <c r="K454" s="122"/>
      <c r="L454" s="122"/>
      <c r="M454" s="89"/>
      <c r="O454" t="str">
        <f t="shared" si="71"/>
        <v/>
      </c>
      <c r="P454" t="str">
        <f t="shared" si="72"/>
        <v/>
      </c>
      <c r="Q454" t="str">
        <f t="shared" si="73"/>
        <v/>
      </c>
      <c r="R454" t="str">
        <f t="shared" si="74"/>
        <v/>
      </c>
    </row>
    <row r="455" spans="1:18">
      <c r="A455" s="85" t="str">
        <f>IF(C455="","",VLOOKUP('OPĆI DIO'!$C$3,'OPĆI DIO'!$L$6:$U$138,10,FALSE))</f>
        <v/>
      </c>
      <c r="B455" s="85" t="str">
        <f>IF(C455="","",VLOOKUP('OPĆI DIO'!$C$3,'OPĆI DIO'!$L$6:$U$138,9,FALSE))</f>
        <v/>
      </c>
      <c r="C455" s="90"/>
      <c r="D455" s="85" t="str">
        <f t="shared" si="67"/>
        <v/>
      </c>
      <c r="E455" s="90"/>
      <c r="F455" s="85" t="str">
        <f t="shared" si="68"/>
        <v/>
      </c>
      <c r="G455" s="123"/>
      <c r="H455" s="85" t="str">
        <f t="shared" si="69"/>
        <v/>
      </c>
      <c r="I455" s="85" t="str">
        <f t="shared" si="70"/>
        <v/>
      </c>
      <c r="J455" s="122"/>
      <c r="K455" s="122"/>
      <c r="L455" s="122"/>
      <c r="M455" s="89"/>
      <c r="O455" t="str">
        <f t="shared" si="71"/>
        <v/>
      </c>
      <c r="P455" t="str">
        <f t="shared" si="72"/>
        <v/>
      </c>
      <c r="Q455" t="str">
        <f t="shared" si="73"/>
        <v/>
      </c>
      <c r="R455" t="str">
        <f t="shared" si="74"/>
        <v/>
      </c>
    </row>
    <row r="456" spans="1:18">
      <c r="A456" s="85" t="str">
        <f>IF(C456="","",VLOOKUP('OPĆI DIO'!$C$3,'OPĆI DIO'!$L$6:$U$138,10,FALSE))</f>
        <v/>
      </c>
      <c r="B456" s="85" t="str">
        <f>IF(C456="","",VLOOKUP('OPĆI DIO'!$C$3,'OPĆI DIO'!$L$6:$U$138,9,FALSE))</f>
        <v/>
      </c>
      <c r="C456" s="90"/>
      <c r="D456" s="85" t="str">
        <f t="shared" si="67"/>
        <v/>
      </c>
      <c r="E456" s="90"/>
      <c r="F456" s="85" t="str">
        <f t="shared" si="68"/>
        <v/>
      </c>
      <c r="G456" s="123"/>
      <c r="H456" s="85" t="str">
        <f t="shared" si="69"/>
        <v/>
      </c>
      <c r="I456" s="85" t="str">
        <f t="shared" si="70"/>
        <v/>
      </c>
      <c r="J456" s="122"/>
      <c r="K456" s="122"/>
      <c r="L456" s="122"/>
      <c r="M456" s="89"/>
      <c r="O456" t="str">
        <f t="shared" si="71"/>
        <v/>
      </c>
      <c r="P456" t="str">
        <f t="shared" si="72"/>
        <v/>
      </c>
      <c r="Q456" t="str">
        <f t="shared" si="73"/>
        <v/>
      </c>
      <c r="R456" t="str">
        <f t="shared" si="74"/>
        <v/>
      </c>
    </row>
    <row r="457" spans="1:18">
      <c r="A457" s="85" t="str">
        <f>IF(C457="","",VLOOKUP('OPĆI DIO'!$C$3,'OPĆI DIO'!$L$6:$U$138,10,FALSE))</f>
        <v/>
      </c>
      <c r="B457" s="85" t="str">
        <f>IF(C457="","",VLOOKUP('OPĆI DIO'!$C$3,'OPĆI DIO'!$L$6:$U$138,9,FALSE))</f>
        <v/>
      </c>
      <c r="C457" s="90"/>
      <c r="D457" s="85" t="str">
        <f t="shared" si="67"/>
        <v/>
      </c>
      <c r="E457" s="90"/>
      <c r="F457" s="85" t="str">
        <f t="shared" si="68"/>
        <v/>
      </c>
      <c r="G457" s="123"/>
      <c r="H457" s="85" t="str">
        <f t="shared" si="69"/>
        <v/>
      </c>
      <c r="I457" s="85" t="str">
        <f t="shared" si="70"/>
        <v/>
      </c>
      <c r="J457" s="122"/>
      <c r="K457" s="122"/>
      <c r="L457" s="122"/>
      <c r="M457" s="89"/>
      <c r="O457" t="str">
        <f t="shared" si="71"/>
        <v/>
      </c>
      <c r="P457" t="str">
        <f t="shared" si="72"/>
        <v/>
      </c>
      <c r="Q457" t="str">
        <f t="shared" si="73"/>
        <v/>
      </c>
      <c r="R457" t="str">
        <f t="shared" si="74"/>
        <v/>
      </c>
    </row>
    <row r="458" spans="1:18">
      <c r="A458" s="85" t="str">
        <f>IF(C458="","",VLOOKUP('OPĆI DIO'!$C$3,'OPĆI DIO'!$L$6:$U$138,10,FALSE))</f>
        <v/>
      </c>
      <c r="B458" s="85" t="str">
        <f>IF(C458="","",VLOOKUP('OPĆI DIO'!$C$3,'OPĆI DIO'!$L$6:$U$138,9,FALSE))</f>
        <v/>
      </c>
      <c r="C458" s="90"/>
      <c r="D458" s="85" t="str">
        <f t="shared" si="67"/>
        <v/>
      </c>
      <c r="E458" s="90"/>
      <c r="F458" s="85" t="str">
        <f t="shared" si="68"/>
        <v/>
      </c>
      <c r="G458" s="123"/>
      <c r="H458" s="85" t="str">
        <f t="shared" si="69"/>
        <v/>
      </c>
      <c r="I458" s="85" t="str">
        <f t="shared" si="70"/>
        <v/>
      </c>
      <c r="J458" s="122"/>
      <c r="K458" s="122"/>
      <c r="L458" s="122"/>
      <c r="M458" s="89"/>
      <c r="O458" t="str">
        <f t="shared" si="71"/>
        <v/>
      </c>
      <c r="P458" t="str">
        <f t="shared" si="72"/>
        <v/>
      </c>
      <c r="Q458" t="str">
        <f t="shared" si="73"/>
        <v/>
      </c>
      <c r="R458" t="str">
        <f t="shared" si="74"/>
        <v/>
      </c>
    </row>
    <row r="459" spans="1:18">
      <c r="A459" s="85" t="str">
        <f>IF(C459="","",VLOOKUP('OPĆI DIO'!$C$3,'OPĆI DIO'!$L$6:$U$138,10,FALSE))</f>
        <v/>
      </c>
      <c r="B459" s="85" t="str">
        <f>IF(C459="","",VLOOKUP('OPĆI DIO'!$C$3,'OPĆI DIO'!$L$6:$U$138,9,FALSE))</f>
        <v/>
      </c>
      <c r="C459" s="90"/>
      <c r="D459" s="85" t="str">
        <f t="shared" si="67"/>
        <v/>
      </c>
      <c r="E459" s="90"/>
      <c r="F459" s="85" t="str">
        <f t="shared" si="68"/>
        <v/>
      </c>
      <c r="G459" s="123"/>
      <c r="H459" s="85" t="str">
        <f t="shared" si="69"/>
        <v/>
      </c>
      <c r="I459" s="85" t="str">
        <f t="shared" si="70"/>
        <v/>
      </c>
      <c r="J459" s="122"/>
      <c r="K459" s="122"/>
      <c r="L459" s="122"/>
      <c r="M459" s="89"/>
      <c r="O459" t="str">
        <f t="shared" si="71"/>
        <v/>
      </c>
      <c r="P459" t="str">
        <f t="shared" si="72"/>
        <v/>
      </c>
      <c r="Q459" t="str">
        <f t="shared" si="73"/>
        <v/>
      </c>
      <c r="R459" t="str">
        <f t="shared" si="74"/>
        <v/>
      </c>
    </row>
    <row r="460" spans="1:18">
      <c r="A460" s="85" t="str">
        <f>IF(C460="","",VLOOKUP('OPĆI DIO'!$C$3,'OPĆI DIO'!$L$6:$U$138,10,FALSE))</f>
        <v/>
      </c>
      <c r="B460" s="85" t="str">
        <f>IF(C460="","",VLOOKUP('OPĆI DIO'!$C$3,'OPĆI DIO'!$L$6:$U$138,9,FALSE))</f>
        <v/>
      </c>
      <c r="C460" s="90"/>
      <c r="D460" s="85" t="str">
        <f t="shared" si="67"/>
        <v/>
      </c>
      <c r="E460" s="90"/>
      <c r="F460" s="85" t="str">
        <f t="shared" si="68"/>
        <v/>
      </c>
      <c r="G460" s="123"/>
      <c r="H460" s="85" t="str">
        <f t="shared" si="69"/>
        <v/>
      </c>
      <c r="I460" s="85" t="str">
        <f t="shared" si="70"/>
        <v/>
      </c>
      <c r="J460" s="122"/>
      <c r="K460" s="122"/>
      <c r="L460" s="122"/>
      <c r="M460" s="89"/>
      <c r="O460" t="str">
        <f t="shared" si="71"/>
        <v/>
      </c>
      <c r="P460" t="str">
        <f t="shared" si="72"/>
        <v/>
      </c>
      <c r="Q460" t="str">
        <f t="shared" si="73"/>
        <v/>
      </c>
      <c r="R460" t="str">
        <f t="shared" si="74"/>
        <v/>
      </c>
    </row>
    <row r="461" spans="1:18">
      <c r="A461" s="85" t="str">
        <f>IF(C461="","",VLOOKUP('OPĆI DIO'!$C$3,'OPĆI DIO'!$L$6:$U$138,10,FALSE))</f>
        <v/>
      </c>
      <c r="B461" s="85" t="str">
        <f>IF(C461="","",VLOOKUP('OPĆI DIO'!$C$3,'OPĆI DIO'!$L$6:$U$138,9,FALSE))</f>
        <v/>
      </c>
      <c r="C461" s="90"/>
      <c r="D461" s="85" t="str">
        <f t="shared" si="67"/>
        <v/>
      </c>
      <c r="E461" s="90"/>
      <c r="F461" s="85" t="str">
        <f t="shared" si="68"/>
        <v/>
      </c>
      <c r="G461" s="123"/>
      <c r="H461" s="85" t="str">
        <f t="shared" si="69"/>
        <v/>
      </c>
      <c r="I461" s="85" t="str">
        <f t="shared" si="70"/>
        <v/>
      </c>
      <c r="J461" s="122"/>
      <c r="K461" s="122"/>
      <c r="L461" s="122"/>
      <c r="M461" s="89"/>
      <c r="O461" t="str">
        <f t="shared" si="71"/>
        <v/>
      </c>
      <c r="P461" t="str">
        <f t="shared" si="72"/>
        <v/>
      </c>
      <c r="Q461" t="str">
        <f t="shared" si="73"/>
        <v/>
      </c>
      <c r="R461" t="str">
        <f t="shared" si="74"/>
        <v/>
      </c>
    </row>
    <row r="462" spans="1:18">
      <c r="A462" s="85" t="str">
        <f>IF(C462="","",VLOOKUP('OPĆI DIO'!$C$3,'OPĆI DIO'!$L$6:$U$138,10,FALSE))</f>
        <v/>
      </c>
      <c r="B462" s="85" t="str">
        <f>IF(C462="","",VLOOKUP('OPĆI DIO'!$C$3,'OPĆI DIO'!$L$6:$U$138,9,FALSE))</f>
        <v/>
      </c>
      <c r="C462" s="90"/>
      <c r="D462" s="85" t="str">
        <f t="shared" si="67"/>
        <v/>
      </c>
      <c r="E462" s="90"/>
      <c r="F462" s="85" t="str">
        <f t="shared" si="68"/>
        <v/>
      </c>
      <c r="G462" s="123"/>
      <c r="H462" s="85" t="str">
        <f t="shared" si="69"/>
        <v/>
      </c>
      <c r="I462" s="85" t="str">
        <f t="shared" si="70"/>
        <v/>
      </c>
      <c r="J462" s="122"/>
      <c r="K462" s="122"/>
      <c r="L462" s="122"/>
      <c r="M462" s="89"/>
      <c r="O462" t="str">
        <f t="shared" si="71"/>
        <v/>
      </c>
      <c r="P462" t="str">
        <f t="shared" si="72"/>
        <v/>
      </c>
      <c r="Q462" t="str">
        <f t="shared" si="73"/>
        <v/>
      </c>
      <c r="R462" t="str">
        <f t="shared" si="74"/>
        <v/>
      </c>
    </row>
    <row r="463" spans="1:18">
      <c r="A463" s="85" t="str">
        <f>IF(C463="","",VLOOKUP('OPĆI DIO'!$C$3,'OPĆI DIO'!$L$6:$U$138,10,FALSE))</f>
        <v/>
      </c>
      <c r="B463" s="85" t="str">
        <f>IF(C463="","",VLOOKUP('OPĆI DIO'!$C$3,'OPĆI DIO'!$L$6:$U$138,9,FALSE))</f>
        <v/>
      </c>
      <c r="C463" s="90"/>
      <c r="D463" s="85" t="str">
        <f t="shared" si="67"/>
        <v/>
      </c>
      <c r="E463" s="90"/>
      <c r="F463" s="85" t="str">
        <f t="shared" si="68"/>
        <v/>
      </c>
      <c r="G463" s="123"/>
      <c r="H463" s="85" t="str">
        <f t="shared" si="69"/>
        <v/>
      </c>
      <c r="I463" s="85" t="str">
        <f t="shared" si="70"/>
        <v/>
      </c>
      <c r="J463" s="122"/>
      <c r="K463" s="122"/>
      <c r="L463" s="122"/>
      <c r="M463" s="89"/>
      <c r="O463" t="str">
        <f t="shared" si="71"/>
        <v/>
      </c>
      <c r="P463" t="str">
        <f t="shared" si="72"/>
        <v/>
      </c>
      <c r="Q463" t="str">
        <f t="shared" si="73"/>
        <v/>
      </c>
      <c r="R463" t="str">
        <f t="shared" si="74"/>
        <v/>
      </c>
    </row>
    <row r="464" spans="1:18">
      <c r="A464" s="85" t="str">
        <f>IF(C464="","",VLOOKUP('OPĆI DIO'!$C$3,'OPĆI DIO'!$L$6:$U$138,10,FALSE))</f>
        <v/>
      </c>
      <c r="B464" s="85" t="str">
        <f>IF(C464="","",VLOOKUP('OPĆI DIO'!$C$3,'OPĆI DIO'!$L$6:$U$138,9,FALSE))</f>
        <v/>
      </c>
      <c r="C464" s="90"/>
      <c r="D464" s="85" t="str">
        <f t="shared" si="67"/>
        <v/>
      </c>
      <c r="E464" s="90"/>
      <c r="F464" s="85" t="str">
        <f t="shared" si="68"/>
        <v/>
      </c>
      <c r="G464" s="123"/>
      <c r="H464" s="85" t="str">
        <f t="shared" si="69"/>
        <v/>
      </c>
      <c r="I464" s="85" t="str">
        <f t="shared" si="70"/>
        <v/>
      </c>
      <c r="J464" s="122"/>
      <c r="K464" s="122"/>
      <c r="L464" s="122"/>
      <c r="M464" s="89"/>
      <c r="O464" t="str">
        <f t="shared" si="71"/>
        <v/>
      </c>
      <c r="P464" t="str">
        <f t="shared" si="72"/>
        <v/>
      </c>
      <c r="Q464" t="str">
        <f t="shared" si="73"/>
        <v/>
      </c>
      <c r="R464" t="str">
        <f t="shared" si="74"/>
        <v/>
      </c>
    </row>
    <row r="465" spans="1:18">
      <c r="A465" s="85" t="str">
        <f>IF(C465="","",VLOOKUP('OPĆI DIO'!$C$3,'OPĆI DIO'!$L$6:$U$138,10,FALSE))</f>
        <v/>
      </c>
      <c r="B465" s="85" t="str">
        <f>IF(C465="","",VLOOKUP('OPĆI DIO'!$C$3,'OPĆI DIO'!$L$6:$U$138,9,FALSE))</f>
        <v/>
      </c>
      <c r="C465" s="90"/>
      <c r="D465" s="85" t="str">
        <f t="shared" si="67"/>
        <v/>
      </c>
      <c r="E465" s="90"/>
      <c r="F465" s="85" t="str">
        <f t="shared" si="68"/>
        <v/>
      </c>
      <c r="G465" s="123"/>
      <c r="H465" s="85" t="str">
        <f t="shared" si="69"/>
        <v/>
      </c>
      <c r="I465" s="85" t="str">
        <f t="shared" si="70"/>
        <v/>
      </c>
      <c r="J465" s="122"/>
      <c r="K465" s="122"/>
      <c r="L465" s="122"/>
      <c r="M465" s="89"/>
      <c r="O465" t="str">
        <f t="shared" si="71"/>
        <v/>
      </c>
      <c r="P465" t="str">
        <f t="shared" si="72"/>
        <v/>
      </c>
      <c r="Q465" t="str">
        <f t="shared" si="73"/>
        <v/>
      </c>
      <c r="R465" t="str">
        <f t="shared" si="74"/>
        <v/>
      </c>
    </row>
    <row r="466" spans="1:18">
      <c r="A466" s="85" t="str">
        <f>IF(C466="","",VLOOKUP('OPĆI DIO'!$C$3,'OPĆI DIO'!$L$6:$U$138,10,FALSE))</f>
        <v/>
      </c>
      <c r="B466" s="85" t="str">
        <f>IF(C466="","",VLOOKUP('OPĆI DIO'!$C$3,'OPĆI DIO'!$L$6:$U$138,9,FALSE))</f>
        <v/>
      </c>
      <c r="C466" s="90"/>
      <c r="D466" s="85" t="str">
        <f t="shared" si="67"/>
        <v/>
      </c>
      <c r="E466" s="90"/>
      <c r="F466" s="85" t="str">
        <f t="shared" si="68"/>
        <v/>
      </c>
      <c r="G466" s="123"/>
      <c r="H466" s="85" t="str">
        <f t="shared" si="69"/>
        <v/>
      </c>
      <c r="I466" s="85" t="str">
        <f t="shared" si="70"/>
        <v/>
      </c>
      <c r="J466" s="122"/>
      <c r="K466" s="122"/>
      <c r="L466" s="122"/>
      <c r="M466" s="89"/>
      <c r="O466" t="str">
        <f t="shared" si="71"/>
        <v/>
      </c>
      <c r="P466" t="str">
        <f t="shared" si="72"/>
        <v/>
      </c>
      <c r="Q466" t="str">
        <f t="shared" si="73"/>
        <v/>
      </c>
      <c r="R466" t="str">
        <f t="shared" si="74"/>
        <v/>
      </c>
    </row>
    <row r="467" spans="1:18">
      <c r="A467" s="85" t="str">
        <f>IF(C467="","",VLOOKUP('OPĆI DIO'!$C$3,'OPĆI DIO'!$L$6:$U$138,10,FALSE))</f>
        <v/>
      </c>
      <c r="B467" s="85" t="str">
        <f>IF(C467="","",VLOOKUP('OPĆI DIO'!$C$3,'OPĆI DIO'!$L$6:$U$138,9,FALSE))</f>
        <v/>
      </c>
      <c r="C467" s="90"/>
      <c r="D467" s="85" t="str">
        <f t="shared" si="67"/>
        <v/>
      </c>
      <c r="E467" s="90"/>
      <c r="F467" s="85" t="str">
        <f t="shared" si="68"/>
        <v/>
      </c>
      <c r="G467" s="123"/>
      <c r="H467" s="85" t="str">
        <f t="shared" si="69"/>
        <v/>
      </c>
      <c r="I467" s="85" t="str">
        <f t="shared" si="70"/>
        <v/>
      </c>
      <c r="J467" s="122"/>
      <c r="K467" s="122"/>
      <c r="L467" s="122"/>
      <c r="M467" s="89"/>
      <c r="O467" t="str">
        <f t="shared" si="71"/>
        <v/>
      </c>
      <c r="P467" t="str">
        <f t="shared" si="72"/>
        <v/>
      </c>
      <c r="Q467" t="str">
        <f t="shared" si="73"/>
        <v/>
      </c>
      <c r="R467" t="str">
        <f t="shared" si="74"/>
        <v/>
      </c>
    </row>
    <row r="468" spans="1:18">
      <c r="A468" s="85" t="str">
        <f>IF(C468="","",VLOOKUP('OPĆI DIO'!$C$3,'OPĆI DIO'!$L$6:$U$138,10,FALSE))</f>
        <v/>
      </c>
      <c r="B468" s="85" t="str">
        <f>IF(C468="","",VLOOKUP('OPĆI DIO'!$C$3,'OPĆI DIO'!$L$6:$U$138,9,FALSE))</f>
        <v/>
      </c>
      <c r="C468" s="90"/>
      <c r="D468" s="85" t="str">
        <f t="shared" si="67"/>
        <v/>
      </c>
      <c r="E468" s="90"/>
      <c r="F468" s="85" t="str">
        <f t="shared" si="68"/>
        <v/>
      </c>
      <c r="G468" s="123"/>
      <c r="H468" s="85" t="str">
        <f t="shared" si="69"/>
        <v/>
      </c>
      <c r="I468" s="85" t="str">
        <f t="shared" si="70"/>
        <v/>
      </c>
      <c r="J468" s="122"/>
      <c r="K468" s="122"/>
      <c r="L468" s="122"/>
      <c r="M468" s="89"/>
      <c r="O468" t="str">
        <f t="shared" si="71"/>
        <v/>
      </c>
      <c r="P468" t="str">
        <f t="shared" si="72"/>
        <v/>
      </c>
      <c r="Q468" t="str">
        <f t="shared" si="73"/>
        <v/>
      </c>
      <c r="R468" t="str">
        <f t="shared" si="74"/>
        <v/>
      </c>
    </row>
    <row r="469" spans="1:18">
      <c r="A469" s="85" t="str">
        <f>IF(C469="","",VLOOKUP('OPĆI DIO'!$C$3,'OPĆI DIO'!$L$6:$U$138,10,FALSE))</f>
        <v/>
      </c>
      <c r="B469" s="85" t="str">
        <f>IF(C469="","",VLOOKUP('OPĆI DIO'!$C$3,'OPĆI DIO'!$L$6:$U$138,9,FALSE))</f>
        <v/>
      </c>
      <c r="C469" s="90"/>
      <c r="D469" s="85" t="str">
        <f t="shared" si="67"/>
        <v/>
      </c>
      <c r="E469" s="90"/>
      <c r="F469" s="85" t="str">
        <f t="shared" si="68"/>
        <v/>
      </c>
      <c r="G469" s="123"/>
      <c r="H469" s="85" t="str">
        <f t="shared" si="69"/>
        <v/>
      </c>
      <c r="I469" s="85" t="str">
        <f t="shared" si="70"/>
        <v/>
      </c>
      <c r="J469" s="122"/>
      <c r="K469" s="122"/>
      <c r="L469" s="122"/>
      <c r="M469" s="89"/>
      <c r="O469" t="str">
        <f t="shared" si="71"/>
        <v/>
      </c>
      <c r="P469" t="str">
        <f t="shared" si="72"/>
        <v/>
      </c>
      <c r="Q469" t="str">
        <f t="shared" si="73"/>
        <v/>
      </c>
      <c r="R469" t="str">
        <f t="shared" si="74"/>
        <v/>
      </c>
    </row>
    <row r="470" spans="1:18">
      <c r="A470" s="85" t="str">
        <f>IF(C470="","",VLOOKUP('OPĆI DIO'!$C$3,'OPĆI DIO'!$L$6:$U$138,10,FALSE))</f>
        <v/>
      </c>
      <c r="B470" s="85" t="str">
        <f>IF(C470="","",VLOOKUP('OPĆI DIO'!$C$3,'OPĆI DIO'!$L$6:$U$138,9,FALSE))</f>
        <v/>
      </c>
      <c r="C470" s="90"/>
      <c r="D470" s="85" t="str">
        <f t="shared" si="67"/>
        <v/>
      </c>
      <c r="E470" s="90"/>
      <c r="F470" s="85" t="str">
        <f t="shared" si="68"/>
        <v/>
      </c>
      <c r="G470" s="123"/>
      <c r="H470" s="85" t="str">
        <f t="shared" si="69"/>
        <v/>
      </c>
      <c r="I470" s="85" t="str">
        <f t="shared" si="70"/>
        <v/>
      </c>
      <c r="J470" s="122"/>
      <c r="K470" s="122"/>
      <c r="L470" s="122"/>
      <c r="M470" s="89"/>
      <c r="O470" t="str">
        <f t="shared" si="71"/>
        <v/>
      </c>
      <c r="P470" t="str">
        <f t="shared" si="72"/>
        <v/>
      </c>
      <c r="Q470" t="str">
        <f t="shared" si="73"/>
        <v/>
      </c>
      <c r="R470" t="str">
        <f t="shared" si="74"/>
        <v/>
      </c>
    </row>
    <row r="471" spans="1:18">
      <c r="A471" s="85" t="str">
        <f>IF(C471="","",VLOOKUP('OPĆI DIO'!$C$3,'OPĆI DIO'!$L$6:$U$138,10,FALSE))</f>
        <v/>
      </c>
      <c r="B471" s="85" t="str">
        <f>IF(C471="","",VLOOKUP('OPĆI DIO'!$C$3,'OPĆI DIO'!$L$6:$U$138,9,FALSE))</f>
        <v/>
      </c>
      <c r="C471" s="90"/>
      <c r="D471" s="85" t="str">
        <f t="shared" si="67"/>
        <v/>
      </c>
      <c r="E471" s="90"/>
      <c r="F471" s="85" t="str">
        <f t="shared" si="68"/>
        <v/>
      </c>
      <c r="G471" s="123"/>
      <c r="H471" s="85" t="str">
        <f t="shared" si="69"/>
        <v/>
      </c>
      <c r="I471" s="85" t="str">
        <f t="shared" si="70"/>
        <v/>
      </c>
      <c r="J471" s="122"/>
      <c r="K471" s="122"/>
      <c r="L471" s="122"/>
      <c r="M471" s="89"/>
      <c r="O471" t="str">
        <f t="shared" si="71"/>
        <v/>
      </c>
      <c r="P471" t="str">
        <f t="shared" si="72"/>
        <v/>
      </c>
      <c r="Q471" t="str">
        <f t="shared" si="73"/>
        <v/>
      </c>
      <c r="R471" t="str">
        <f t="shared" si="74"/>
        <v/>
      </c>
    </row>
    <row r="472" spans="1:18">
      <c r="A472" s="85" t="str">
        <f>IF(C472="","",VLOOKUP('OPĆI DIO'!$C$3,'OPĆI DIO'!$L$6:$U$138,10,FALSE))</f>
        <v/>
      </c>
      <c r="B472" s="85" t="str">
        <f>IF(C472="","",VLOOKUP('OPĆI DIO'!$C$3,'OPĆI DIO'!$L$6:$U$138,9,FALSE))</f>
        <v/>
      </c>
      <c r="C472" s="90"/>
      <c r="D472" s="85" t="str">
        <f t="shared" si="67"/>
        <v/>
      </c>
      <c r="E472" s="90"/>
      <c r="F472" s="85" t="str">
        <f t="shared" si="68"/>
        <v/>
      </c>
      <c r="G472" s="123"/>
      <c r="H472" s="85" t="str">
        <f t="shared" si="69"/>
        <v/>
      </c>
      <c r="I472" s="85" t="str">
        <f t="shared" si="70"/>
        <v/>
      </c>
      <c r="J472" s="122"/>
      <c r="K472" s="122"/>
      <c r="L472" s="122"/>
      <c r="M472" s="89"/>
      <c r="O472" t="str">
        <f t="shared" si="71"/>
        <v/>
      </c>
      <c r="P472" t="str">
        <f t="shared" si="72"/>
        <v/>
      </c>
      <c r="Q472" t="str">
        <f t="shared" si="73"/>
        <v/>
      </c>
      <c r="R472" t="str">
        <f t="shared" si="74"/>
        <v/>
      </c>
    </row>
    <row r="473" spans="1:18">
      <c r="A473" s="85" t="str">
        <f>IF(C473="","",VLOOKUP('OPĆI DIO'!$C$3,'OPĆI DIO'!$L$6:$U$138,10,FALSE))</f>
        <v/>
      </c>
      <c r="B473" s="85" t="str">
        <f>IF(C473="","",VLOOKUP('OPĆI DIO'!$C$3,'OPĆI DIO'!$L$6:$U$138,9,FALSE))</f>
        <v/>
      </c>
      <c r="C473" s="90"/>
      <c r="D473" s="85" t="str">
        <f t="shared" si="67"/>
        <v/>
      </c>
      <c r="E473" s="90"/>
      <c r="F473" s="85" t="str">
        <f t="shared" si="68"/>
        <v/>
      </c>
      <c r="G473" s="123"/>
      <c r="H473" s="85" t="str">
        <f t="shared" si="69"/>
        <v/>
      </c>
      <c r="I473" s="85" t="str">
        <f t="shared" si="70"/>
        <v/>
      </c>
      <c r="J473" s="122"/>
      <c r="K473" s="122"/>
      <c r="L473" s="122"/>
      <c r="M473" s="89"/>
      <c r="O473" t="str">
        <f t="shared" si="71"/>
        <v/>
      </c>
      <c r="P473" t="str">
        <f t="shared" si="72"/>
        <v/>
      </c>
      <c r="Q473" t="str">
        <f t="shared" si="73"/>
        <v/>
      </c>
      <c r="R473" t="str">
        <f t="shared" si="74"/>
        <v/>
      </c>
    </row>
    <row r="474" spans="1:18">
      <c r="A474" s="85" t="str">
        <f>IF(C474="","",VLOOKUP('OPĆI DIO'!$C$3,'OPĆI DIO'!$L$6:$U$138,10,FALSE))</f>
        <v/>
      </c>
      <c r="B474" s="85" t="str">
        <f>IF(C474="","",VLOOKUP('OPĆI DIO'!$C$3,'OPĆI DIO'!$L$6:$U$138,9,FALSE))</f>
        <v/>
      </c>
      <c r="C474" s="90"/>
      <c r="D474" s="85" t="str">
        <f t="shared" si="67"/>
        <v/>
      </c>
      <c r="E474" s="90"/>
      <c r="F474" s="85" t="str">
        <f t="shared" si="68"/>
        <v/>
      </c>
      <c r="G474" s="123"/>
      <c r="H474" s="85" t="str">
        <f t="shared" si="69"/>
        <v/>
      </c>
      <c r="I474" s="85" t="str">
        <f t="shared" si="70"/>
        <v/>
      </c>
      <c r="J474" s="122"/>
      <c r="K474" s="122"/>
      <c r="L474" s="122"/>
      <c r="M474" s="89"/>
      <c r="O474" t="str">
        <f t="shared" si="71"/>
        <v/>
      </c>
      <c r="P474" t="str">
        <f t="shared" si="72"/>
        <v/>
      </c>
      <c r="Q474" t="str">
        <f t="shared" si="73"/>
        <v/>
      </c>
      <c r="R474" t="str">
        <f t="shared" si="74"/>
        <v/>
      </c>
    </row>
    <row r="475" spans="1:18">
      <c r="A475" s="85" t="str">
        <f>IF(C475="","",VLOOKUP('OPĆI DIO'!$C$3,'OPĆI DIO'!$L$6:$U$138,10,FALSE))</f>
        <v/>
      </c>
      <c r="B475" s="85" t="str">
        <f>IF(C475="","",VLOOKUP('OPĆI DIO'!$C$3,'OPĆI DIO'!$L$6:$U$138,9,FALSE))</f>
        <v/>
      </c>
      <c r="C475" s="90"/>
      <c r="D475" s="85" t="str">
        <f t="shared" si="67"/>
        <v/>
      </c>
      <c r="E475" s="90"/>
      <c r="F475" s="85" t="str">
        <f t="shared" si="68"/>
        <v/>
      </c>
      <c r="G475" s="123"/>
      <c r="H475" s="85" t="str">
        <f t="shared" si="69"/>
        <v/>
      </c>
      <c r="I475" s="85" t="str">
        <f t="shared" si="70"/>
        <v/>
      </c>
      <c r="J475" s="122"/>
      <c r="K475" s="122"/>
      <c r="L475" s="122"/>
      <c r="M475" s="89"/>
      <c r="O475" t="str">
        <f t="shared" si="71"/>
        <v/>
      </c>
      <c r="P475" t="str">
        <f t="shared" si="72"/>
        <v/>
      </c>
      <c r="Q475" t="str">
        <f t="shared" si="73"/>
        <v/>
      </c>
      <c r="R475" t="str">
        <f t="shared" si="74"/>
        <v/>
      </c>
    </row>
    <row r="476" spans="1:18">
      <c r="A476" s="85" t="str">
        <f>IF(C476="","",VLOOKUP('OPĆI DIO'!$C$3,'OPĆI DIO'!$L$6:$U$138,10,FALSE))</f>
        <v/>
      </c>
      <c r="B476" s="85" t="str">
        <f>IF(C476="","",VLOOKUP('OPĆI DIO'!$C$3,'OPĆI DIO'!$L$6:$U$138,9,FALSE))</f>
        <v/>
      </c>
      <c r="C476" s="90"/>
      <c r="D476" s="85" t="str">
        <f t="shared" si="67"/>
        <v/>
      </c>
      <c r="E476" s="90"/>
      <c r="F476" s="85" t="str">
        <f t="shared" si="68"/>
        <v/>
      </c>
      <c r="G476" s="123"/>
      <c r="H476" s="85" t="str">
        <f t="shared" si="69"/>
        <v/>
      </c>
      <c r="I476" s="85" t="str">
        <f t="shared" si="70"/>
        <v/>
      </c>
      <c r="J476" s="122"/>
      <c r="K476" s="122"/>
      <c r="L476" s="122"/>
      <c r="M476" s="89"/>
      <c r="O476" t="str">
        <f t="shared" si="71"/>
        <v/>
      </c>
      <c r="P476" t="str">
        <f t="shared" si="72"/>
        <v/>
      </c>
      <c r="Q476" t="str">
        <f t="shared" si="73"/>
        <v/>
      </c>
      <c r="R476" t="str">
        <f t="shared" si="74"/>
        <v/>
      </c>
    </row>
    <row r="477" spans="1:18">
      <c r="A477" s="85" t="str">
        <f>IF(C477="","",VLOOKUP('OPĆI DIO'!$C$3,'OPĆI DIO'!$L$6:$U$138,10,FALSE))</f>
        <v/>
      </c>
      <c r="B477" s="85" t="str">
        <f>IF(C477="","",VLOOKUP('OPĆI DIO'!$C$3,'OPĆI DIO'!$L$6:$U$138,9,FALSE))</f>
        <v/>
      </c>
      <c r="C477" s="90"/>
      <c r="D477" s="85" t="str">
        <f t="shared" si="67"/>
        <v/>
      </c>
      <c r="E477" s="90"/>
      <c r="F477" s="85" t="str">
        <f t="shared" si="68"/>
        <v/>
      </c>
      <c r="G477" s="123"/>
      <c r="H477" s="85" t="str">
        <f t="shared" si="69"/>
        <v/>
      </c>
      <c r="I477" s="85" t="str">
        <f t="shared" si="70"/>
        <v/>
      </c>
      <c r="J477" s="122"/>
      <c r="K477" s="122"/>
      <c r="L477" s="122"/>
      <c r="M477" s="89"/>
      <c r="O477" t="str">
        <f t="shared" si="71"/>
        <v/>
      </c>
      <c r="P477" t="str">
        <f t="shared" si="72"/>
        <v/>
      </c>
      <c r="Q477" t="str">
        <f t="shared" si="73"/>
        <v/>
      </c>
      <c r="R477" t="str">
        <f t="shared" si="74"/>
        <v/>
      </c>
    </row>
    <row r="478" spans="1:18">
      <c r="A478" s="85" t="str">
        <f>IF(C478="","",VLOOKUP('OPĆI DIO'!$C$3,'OPĆI DIO'!$L$6:$U$138,10,FALSE))</f>
        <v/>
      </c>
      <c r="B478" s="85" t="str">
        <f>IF(C478="","",VLOOKUP('OPĆI DIO'!$C$3,'OPĆI DIO'!$L$6:$U$138,9,FALSE))</f>
        <v/>
      </c>
      <c r="C478" s="90"/>
      <c r="D478" s="85" t="str">
        <f t="shared" si="67"/>
        <v/>
      </c>
      <c r="E478" s="90"/>
      <c r="F478" s="85" t="str">
        <f t="shared" si="68"/>
        <v/>
      </c>
      <c r="G478" s="123"/>
      <c r="H478" s="85" t="str">
        <f t="shared" si="69"/>
        <v/>
      </c>
      <c r="I478" s="85" t="str">
        <f t="shared" si="70"/>
        <v/>
      </c>
      <c r="J478" s="122"/>
      <c r="K478" s="122"/>
      <c r="L478" s="122"/>
      <c r="M478" s="89"/>
      <c r="O478" t="str">
        <f t="shared" si="71"/>
        <v/>
      </c>
      <c r="P478" t="str">
        <f t="shared" si="72"/>
        <v/>
      </c>
      <c r="Q478" t="str">
        <f t="shared" si="73"/>
        <v/>
      </c>
      <c r="R478" t="str">
        <f t="shared" si="74"/>
        <v/>
      </c>
    </row>
    <row r="479" spans="1:18">
      <c r="A479" s="85" t="str">
        <f>IF(C479="","",VLOOKUP('OPĆI DIO'!$C$3,'OPĆI DIO'!$L$6:$U$138,10,FALSE))</f>
        <v/>
      </c>
      <c r="B479" s="85" t="str">
        <f>IF(C479="","",VLOOKUP('OPĆI DIO'!$C$3,'OPĆI DIO'!$L$6:$U$138,9,FALSE))</f>
        <v/>
      </c>
      <c r="C479" s="90"/>
      <c r="D479" s="85" t="str">
        <f t="shared" si="67"/>
        <v/>
      </c>
      <c r="E479" s="90"/>
      <c r="F479" s="85" t="str">
        <f t="shared" si="68"/>
        <v/>
      </c>
      <c r="G479" s="123"/>
      <c r="H479" s="85" t="str">
        <f t="shared" si="69"/>
        <v/>
      </c>
      <c r="I479" s="85" t="str">
        <f t="shared" si="70"/>
        <v/>
      </c>
      <c r="J479" s="122"/>
      <c r="K479" s="122"/>
      <c r="L479" s="122"/>
      <c r="M479" s="89"/>
      <c r="O479" t="str">
        <f t="shared" si="71"/>
        <v/>
      </c>
      <c r="P479" t="str">
        <f t="shared" si="72"/>
        <v/>
      </c>
      <c r="Q479" t="str">
        <f t="shared" si="73"/>
        <v/>
      </c>
      <c r="R479" t="str">
        <f t="shared" si="74"/>
        <v/>
      </c>
    </row>
    <row r="480" spans="1:18">
      <c r="A480" s="85" t="str">
        <f>IF(C480="","",VLOOKUP('OPĆI DIO'!$C$3,'OPĆI DIO'!$L$6:$U$138,10,FALSE))</f>
        <v/>
      </c>
      <c r="B480" s="85" t="str">
        <f>IF(C480="","",VLOOKUP('OPĆI DIO'!$C$3,'OPĆI DIO'!$L$6:$U$138,9,FALSE))</f>
        <v/>
      </c>
      <c r="C480" s="90"/>
      <c r="D480" s="85" t="str">
        <f t="shared" si="67"/>
        <v/>
      </c>
      <c r="E480" s="90"/>
      <c r="F480" s="85" t="str">
        <f t="shared" si="68"/>
        <v/>
      </c>
      <c r="G480" s="123"/>
      <c r="H480" s="85" t="str">
        <f t="shared" si="69"/>
        <v/>
      </c>
      <c r="I480" s="85" t="str">
        <f t="shared" si="70"/>
        <v/>
      </c>
      <c r="J480" s="122"/>
      <c r="K480" s="122"/>
      <c r="L480" s="122"/>
      <c r="M480" s="89"/>
      <c r="O480" t="str">
        <f t="shared" si="71"/>
        <v/>
      </c>
      <c r="P480" t="str">
        <f t="shared" si="72"/>
        <v/>
      </c>
      <c r="Q480" t="str">
        <f t="shared" si="73"/>
        <v/>
      </c>
      <c r="R480" t="str">
        <f t="shared" si="74"/>
        <v/>
      </c>
    </row>
    <row r="481" spans="1:18">
      <c r="A481" s="85" t="str">
        <f>IF(C481="","",VLOOKUP('OPĆI DIO'!$C$3,'OPĆI DIO'!$L$6:$U$138,10,FALSE))</f>
        <v/>
      </c>
      <c r="B481" s="85" t="str">
        <f>IF(C481="","",VLOOKUP('OPĆI DIO'!$C$3,'OPĆI DIO'!$L$6:$U$138,9,FALSE))</f>
        <v/>
      </c>
      <c r="C481" s="90"/>
      <c r="D481" s="85" t="str">
        <f t="shared" si="67"/>
        <v/>
      </c>
      <c r="E481" s="90"/>
      <c r="F481" s="85" t="str">
        <f t="shared" si="68"/>
        <v/>
      </c>
      <c r="G481" s="123"/>
      <c r="H481" s="85" t="str">
        <f t="shared" si="69"/>
        <v/>
      </c>
      <c r="I481" s="85" t="str">
        <f t="shared" si="70"/>
        <v/>
      </c>
      <c r="J481" s="122"/>
      <c r="K481" s="122"/>
      <c r="L481" s="122"/>
      <c r="M481" s="89"/>
      <c r="O481" t="str">
        <f t="shared" si="71"/>
        <v/>
      </c>
      <c r="P481" t="str">
        <f t="shared" si="72"/>
        <v/>
      </c>
      <c r="Q481" t="str">
        <f t="shared" si="73"/>
        <v/>
      </c>
      <c r="R481" t="str">
        <f t="shared" si="74"/>
        <v/>
      </c>
    </row>
    <row r="482" spans="1:18">
      <c r="A482" s="85" t="str">
        <f>IF(C482="","",VLOOKUP('OPĆI DIO'!$C$3,'OPĆI DIO'!$L$6:$U$138,10,FALSE))</f>
        <v/>
      </c>
      <c r="B482" s="85" t="str">
        <f>IF(C482="","",VLOOKUP('OPĆI DIO'!$C$3,'OPĆI DIO'!$L$6:$U$138,9,FALSE))</f>
        <v/>
      </c>
      <c r="C482" s="90"/>
      <c r="D482" s="85" t="str">
        <f t="shared" si="67"/>
        <v/>
      </c>
      <c r="E482" s="90"/>
      <c r="F482" s="85" t="str">
        <f t="shared" si="68"/>
        <v/>
      </c>
      <c r="G482" s="123"/>
      <c r="H482" s="85" t="str">
        <f t="shared" si="69"/>
        <v/>
      </c>
      <c r="I482" s="85" t="str">
        <f t="shared" si="70"/>
        <v/>
      </c>
      <c r="J482" s="122"/>
      <c r="K482" s="122"/>
      <c r="L482" s="122"/>
      <c r="M482" s="89"/>
      <c r="O482" t="str">
        <f t="shared" si="71"/>
        <v/>
      </c>
      <c r="P482" t="str">
        <f t="shared" si="72"/>
        <v/>
      </c>
      <c r="Q482" t="str">
        <f t="shared" si="73"/>
        <v/>
      </c>
      <c r="R482" t="str">
        <f t="shared" si="74"/>
        <v/>
      </c>
    </row>
    <row r="483" spans="1:18">
      <c r="A483" s="85" t="str">
        <f>IF(C483="","",VLOOKUP('OPĆI DIO'!$C$3,'OPĆI DIO'!$L$6:$U$138,10,FALSE))</f>
        <v/>
      </c>
      <c r="B483" s="85" t="str">
        <f>IF(C483="","",VLOOKUP('OPĆI DIO'!$C$3,'OPĆI DIO'!$L$6:$U$138,9,FALSE))</f>
        <v/>
      </c>
      <c r="C483" s="90"/>
      <c r="D483" s="85" t="str">
        <f t="shared" si="67"/>
        <v/>
      </c>
      <c r="E483" s="90"/>
      <c r="F483" s="85" t="str">
        <f t="shared" si="68"/>
        <v/>
      </c>
      <c r="G483" s="123"/>
      <c r="H483" s="85" t="str">
        <f t="shared" si="69"/>
        <v/>
      </c>
      <c r="I483" s="85" t="str">
        <f t="shared" si="70"/>
        <v/>
      </c>
      <c r="J483" s="122"/>
      <c r="K483" s="122"/>
      <c r="L483" s="122"/>
      <c r="M483" s="89"/>
      <c r="O483" t="str">
        <f t="shared" si="71"/>
        <v/>
      </c>
      <c r="P483" t="str">
        <f t="shared" si="72"/>
        <v/>
      </c>
      <c r="Q483" t="str">
        <f t="shared" si="73"/>
        <v/>
      </c>
      <c r="R483" t="str">
        <f t="shared" si="74"/>
        <v/>
      </c>
    </row>
    <row r="484" spans="1:18">
      <c r="A484" s="85" t="str">
        <f>IF(C484="","",VLOOKUP('OPĆI DIO'!$C$3,'OPĆI DIO'!$L$6:$U$138,10,FALSE))</f>
        <v/>
      </c>
      <c r="B484" s="85" t="str">
        <f>IF(C484="","",VLOOKUP('OPĆI DIO'!$C$3,'OPĆI DIO'!$L$6:$U$138,9,FALSE))</f>
        <v/>
      </c>
      <c r="C484" s="90"/>
      <c r="D484" s="85" t="str">
        <f t="shared" si="67"/>
        <v/>
      </c>
      <c r="E484" s="90"/>
      <c r="F484" s="85" t="str">
        <f t="shared" si="68"/>
        <v/>
      </c>
      <c r="G484" s="123"/>
      <c r="H484" s="85" t="str">
        <f t="shared" si="69"/>
        <v/>
      </c>
      <c r="I484" s="85" t="str">
        <f t="shared" si="70"/>
        <v/>
      </c>
      <c r="J484" s="122"/>
      <c r="K484" s="122"/>
      <c r="L484" s="122"/>
      <c r="M484" s="89"/>
      <c r="O484" t="str">
        <f t="shared" si="71"/>
        <v/>
      </c>
      <c r="P484" t="str">
        <f t="shared" si="72"/>
        <v/>
      </c>
      <c r="Q484" t="str">
        <f t="shared" si="73"/>
        <v/>
      </c>
      <c r="R484" t="str">
        <f t="shared" si="74"/>
        <v/>
      </c>
    </row>
    <row r="485" spans="1:18">
      <c r="A485" s="85" t="str">
        <f>IF(C485="","",VLOOKUP('OPĆI DIO'!$C$3,'OPĆI DIO'!$L$6:$U$138,10,FALSE))</f>
        <v/>
      </c>
      <c r="B485" s="85" t="str">
        <f>IF(C485="","",VLOOKUP('OPĆI DIO'!$C$3,'OPĆI DIO'!$L$6:$U$138,9,FALSE))</f>
        <v/>
      </c>
      <c r="C485" s="90"/>
      <c r="D485" s="85" t="str">
        <f t="shared" si="67"/>
        <v/>
      </c>
      <c r="E485" s="90"/>
      <c r="F485" s="85" t="str">
        <f t="shared" si="68"/>
        <v/>
      </c>
      <c r="G485" s="123"/>
      <c r="H485" s="85" t="str">
        <f t="shared" si="69"/>
        <v/>
      </c>
      <c r="I485" s="85" t="str">
        <f t="shared" si="70"/>
        <v/>
      </c>
      <c r="J485" s="122"/>
      <c r="K485" s="122"/>
      <c r="L485" s="122"/>
      <c r="M485" s="89"/>
      <c r="O485" t="str">
        <f t="shared" si="71"/>
        <v/>
      </c>
      <c r="P485" t="str">
        <f t="shared" si="72"/>
        <v/>
      </c>
      <c r="Q485" t="str">
        <f t="shared" si="73"/>
        <v/>
      </c>
      <c r="R485" t="str">
        <f t="shared" si="74"/>
        <v/>
      </c>
    </row>
    <row r="486" spans="1:18">
      <c r="A486" s="85" t="str">
        <f>IF(C486="","",VLOOKUP('OPĆI DIO'!$C$3,'OPĆI DIO'!$L$6:$U$138,10,FALSE))</f>
        <v/>
      </c>
      <c r="B486" s="85" t="str">
        <f>IF(C486="","",VLOOKUP('OPĆI DIO'!$C$3,'OPĆI DIO'!$L$6:$U$138,9,FALSE))</f>
        <v/>
      </c>
      <c r="C486" s="90"/>
      <c r="D486" s="85" t="str">
        <f t="shared" si="67"/>
        <v/>
      </c>
      <c r="E486" s="90"/>
      <c r="F486" s="85" t="str">
        <f t="shared" si="68"/>
        <v/>
      </c>
      <c r="G486" s="123"/>
      <c r="H486" s="85" t="str">
        <f t="shared" si="69"/>
        <v/>
      </c>
      <c r="I486" s="85" t="str">
        <f t="shared" si="70"/>
        <v/>
      </c>
      <c r="J486" s="122"/>
      <c r="K486" s="122"/>
      <c r="L486" s="122"/>
      <c r="M486" s="89"/>
      <c r="O486" t="str">
        <f t="shared" si="71"/>
        <v/>
      </c>
      <c r="P486" t="str">
        <f t="shared" si="72"/>
        <v/>
      </c>
      <c r="Q486" t="str">
        <f t="shared" si="73"/>
        <v/>
      </c>
      <c r="R486" t="str">
        <f t="shared" si="74"/>
        <v/>
      </c>
    </row>
    <row r="487" spans="1:18">
      <c r="A487" s="85" t="str">
        <f>IF(C487="","",VLOOKUP('OPĆI DIO'!$C$3,'OPĆI DIO'!$L$6:$U$138,10,FALSE))</f>
        <v/>
      </c>
      <c r="B487" s="85" t="str">
        <f>IF(C487="","",VLOOKUP('OPĆI DIO'!$C$3,'OPĆI DIO'!$L$6:$U$138,9,FALSE))</f>
        <v/>
      </c>
      <c r="C487" s="90"/>
      <c r="D487" s="85" t="str">
        <f t="shared" si="67"/>
        <v/>
      </c>
      <c r="E487" s="90"/>
      <c r="F487" s="85" t="str">
        <f t="shared" si="68"/>
        <v/>
      </c>
      <c r="G487" s="123"/>
      <c r="H487" s="85" t="str">
        <f t="shared" si="69"/>
        <v/>
      </c>
      <c r="I487" s="85" t="str">
        <f t="shared" si="70"/>
        <v/>
      </c>
      <c r="J487" s="122"/>
      <c r="K487" s="122"/>
      <c r="L487" s="122"/>
      <c r="M487" s="89"/>
      <c r="O487" t="str">
        <f t="shared" si="71"/>
        <v/>
      </c>
      <c r="P487" t="str">
        <f t="shared" si="72"/>
        <v/>
      </c>
      <c r="Q487" t="str">
        <f t="shared" si="73"/>
        <v/>
      </c>
      <c r="R487" t="str">
        <f t="shared" si="74"/>
        <v/>
      </c>
    </row>
    <row r="488" spans="1:18">
      <c r="A488" s="85" t="str">
        <f>IF(C488="","",VLOOKUP('OPĆI DIO'!$C$3,'OPĆI DIO'!$L$6:$U$138,10,FALSE))</f>
        <v/>
      </c>
      <c r="B488" s="85" t="str">
        <f>IF(C488="","",VLOOKUP('OPĆI DIO'!$C$3,'OPĆI DIO'!$L$6:$U$138,9,FALSE))</f>
        <v/>
      </c>
      <c r="C488" s="90"/>
      <c r="D488" s="85" t="str">
        <f t="shared" si="67"/>
        <v/>
      </c>
      <c r="E488" s="90"/>
      <c r="F488" s="85" t="str">
        <f t="shared" si="68"/>
        <v/>
      </c>
      <c r="G488" s="123"/>
      <c r="H488" s="85" t="str">
        <f t="shared" si="69"/>
        <v/>
      </c>
      <c r="I488" s="85" t="str">
        <f t="shared" si="70"/>
        <v/>
      </c>
      <c r="J488" s="122"/>
      <c r="K488" s="122"/>
      <c r="L488" s="122"/>
      <c r="M488" s="89"/>
      <c r="O488" t="str">
        <f t="shared" si="71"/>
        <v/>
      </c>
      <c r="P488" t="str">
        <f t="shared" si="72"/>
        <v/>
      </c>
      <c r="Q488" t="str">
        <f t="shared" si="73"/>
        <v/>
      </c>
      <c r="R488" t="str">
        <f t="shared" si="74"/>
        <v/>
      </c>
    </row>
    <row r="489" spans="1:18">
      <c r="A489" s="85" t="str">
        <f>IF(C489="","",VLOOKUP('OPĆI DIO'!$C$3,'OPĆI DIO'!$L$6:$U$138,10,FALSE))</f>
        <v/>
      </c>
      <c r="B489" s="85" t="str">
        <f>IF(C489="","",VLOOKUP('OPĆI DIO'!$C$3,'OPĆI DIO'!$L$6:$U$138,9,FALSE))</f>
        <v/>
      </c>
      <c r="C489" s="90"/>
      <c r="D489" s="85" t="str">
        <f t="shared" si="67"/>
        <v/>
      </c>
      <c r="E489" s="90"/>
      <c r="F489" s="85" t="str">
        <f t="shared" si="68"/>
        <v/>
      </c>
      <c r="G489" s="123"/>
      <c r="H489" s="85" t="str">
        <f t="shared" si="69"/>
        <v/>
      </c>
      <c r="I489" s="85" t="str">
        <f t="shared" si="70"/>
        <v/>
      </c>
      <c r="J489" s="122"/>
      <c r="K489" s="122"/>
      <c r="L489" s="122"/>
      <c r="M489" s="89"/>
      <c r="O489" t="str">
        <f t="shared" si="71"/>
        <v/>
      </c>
      <c r="P489" t="str">
        <f t="shared" si="72"/>
        <v/>
      </c>
      <c r="Q489" t="str">
        <f t="shared" si="73"/>
        <v/>
      </c>
      <c r="R489" t="str">
        <f t="shared" si="74"/>
        <v/>
      </c>
    </row>
    <row r="490" spans="1:18">
      <c r="A490" s="85" t="str">
        <f>IF(C490="","",VLOOKUP('OPĆI DIO'!$C$3,'OPĆI DIO'!$L$6:$U$138,10,FALSE))</f>
        <v/>
      </c>
      <c r="B490" s="85" t="str">
        <f>IF(C490="","",VLOOKUP('OPĆI DIO'!$C$3,'OPĆI DIO'!$L$6:$U$138,9,FALSE))</f>
        <v/>
      </c>
      <c r="C490" s="90"/>
      <c r="D490" s="85" t="str">
        <f t="shared" si="67"/>
        <v/>
      </c>
      <c r="E490" s="90"/>
      <c r="F490" s="85" t="str">
        <f t="shared" si="68"/>
        <v/>
      </c>
      <c r="G490" s="123"/>
      <c r="H490" s="85" t="str">
        <f t="shared" si="69"/>
        <v/>
      </c>
      <c r="I490" s="85" t="str">
        <f t="shared" si="70"/>
        <v/>
      </c>
      <c r="J490" s="122"/>
      <c r="K490" s="122"/>
      <c r="L490" s="122"/>
      <c r="M490" s="89"/>
      <c r="O490" t="str">
        <f t="shared" si="71"/>
        <v/>
      </c>
      <c r="P490" t="str">
        <f t="shared" si="72"/>
        <v/>
      </c>
      <c r="Q490" t="str">
        <f t="shared" si="73"/>
        <v/>
      </c>
      <c r="R490" t="str">
        <f t="shared" si="74"/>
        <v/>
      </c>
    </row>
    <row r="491" spans="1:18">
      <c r="A491" s="85" t="str">
        <f>IF(C491="","",VLOOKUP('OPĆI DIO'!$C$3,'OPĆI DIO'!$L$6:$U$138,10,FALSE))</f>
        <v/>
      </c>
      <c r="B491" s="85" t="str">
        <f>IF(C491="","",VLOOKUP('OPĆI DIO'!$C$3,'OPĆI DIO'!$L$6:$U$138,9,FALSE))</f>
        <v/>
      </c>
      <c r="C491" s="90"/>
      <c r="D491" s="85" t="str">
        <f t="shared" si="67"/>
        <v/>
      </c>
      <c r="E491" s="90"/>
      <c r="F491" s="85" t="str">
        <f t="shared" si="68"/>
        <v/>
      </c>
      <c r="G491" s="123"/>
      <c r="H491" s="85" t="str">
        <f t="shared" si="69"/>
        <v/>
      </c>
      <c r="I491" s="85" t="str">
        <f t="shared" si="70"/>
        <v/>
      </c>
      <c r="J491" s="122"/>
      <c r="K491" s="122"/>
      <c r="L491" s="122"/>
      <c r="M491" s="89"/>
      <c r="O491" t="str">
        <f t="shared" si="71"/>
        <v/>
      </c>
      <c r="P491" t="str">
        <f t="shared" si="72"/>
        <v/>
      </c>
      <c r="Q491" t="str">
        <f t="shared" si="73"/>
        <v/>
      </c>
      <c r="R491" t="str">
        <f t="shared" si="74"/>
        <v/>
      </c>
    </row>
    <row r="492" spans="1:18">
      <c r="A492" s="85" t="str">
        <f>IF(C492="","",VLOOKUP('OPĆI DIO'!$C$3,'OPĆI DIO'!$L$6:$U$138,10,FALSE))</f>
        <v/>
      </c>
      <c r="B492" s="85" t="str">
        <f>IF(C492="","",VLOOKUP('OPĆI DIO'!$C$3,'OPĆI DIO'!$L$6:$U$138,9,FALSE))</f>
        <v/>
      </c>
      <c r="C492" s="90"/>
      <c r="D492" s="85" t="str">
        <f t="shared" si="67"/>
        <v/>
      </c>
      <c r="E492" s="90"/>
      <c r="F492" s="85" t="str">
        <f t="shared" si="68"/>
        <v/>
      </c>
      <c r="G492" s="123"/>
      <c r="H492" s="85" t="str">
        <f t="shared" si="69"/>
        <v/>
      </c>
      <c r="I492" s="85" t="str">
        <f t="shared" si="70"/>
        <v/>
      </c>
      <c r="J492" s="122"/>
      <c r="K492" s="122"/>
      <c r="L492" s="122"/>
      <c r="M492" s="89"/>
      <c r="O492" t="str">
        <f t="shared" si="71"/>
        <v/>
      </c>
      <c r="P492" t="str">
        <f t="shared" si="72"/>
        <v/>
      </c>
      <c r="Q492" t="str">
        <f t="shared" si="73"/>
        <v/>
      </c>
      <c r="R492" t="str">
        <f t="shared" si="74"/>
        <v/>
      </c>
    </row>
    <row r="493" spans="1:18">
      <c r="A493" s="85" t="str">
        <f>IF(C493="","",VLOOKUP('OPĆI DIO'!$C$3,'OPĆI DIO'!$L$6:$U$138,10,FALSE))</f>
        <v/>
      </c>
      <c r="B493" s="85" t="str">
        <f>IF(C493="","",VLOOKUP('OPĆI DIO'!$C$3,'OPĆI DIO'!$L$6:$U$138,9,FALSE))</f>
        <v/>
      </c>
      <c r="C493" s="90"/>
      <c r="D493" s="85" t="str">
        <f t="shared" si="67"/>
        <v/>
      </c>
      <c r="E493" s="90"/>
      <c r="F493" s="85" t="str">
        <f t="shared" si="68"/>
        <v/>
      </c>
      <c r="G493" s="123"/>
      <c r="H493" s="85" t="str">
        <f t="shared" si="69"/>
        <v/>
      </c>
      <c r="I493" s="85" t="str">
        <f t="shared" si="70"/>
        <v/>
      </c>
      <c r="J493" s="122"/>
      <c r="K493" s="122"/>
      <c r="L493" s="122"/>
      <c r="M493" s="89"/>
      <c r="O493" t="str">
        <f t="shared" si="71"/>
        <v/>
      </c>
      <c r="P493" t="str">
        <f t="shared" si="72"/>
        <v/>
      </c>
      <c r="Q493" t="str">
        <f t="shared" si="73"/>
        <v/>
      </c>
      <c r="R493" t="str">
        <f t="shared" si="74"/>
        <v/>
      </c>
    </row>
    <row r="494" spans="1:18">
      <c r="A494" s="85" t="str">
        <f>IF(C494="","",VLOOKUP('OPĆI DIO'!$C$3,'OPĆI DIO'!$L$6:$U$138,10,FALSE))</f>
        <v/>
      </c>
      <c r="B494" s="85" t="str">
        <f>IF(C494="","",VLOOKUP('OPĆI DIO'!$C$3,'OPĆI DIO'!$L$6:$U$138,9,FALSE))</f>
        <v/>
      </c>
      <c r="C494" s="90"/>
      <c r="D494" s="85" t="str">
        <f t="shared" si="67"/>
        <v/>
      </c>
      <c r="E494" s="90"/>
      <c r="F494" s="85" t="str">
        <f t="shared" si="68"/>
        <v/>
      </c>
      <c r="G494" s="123"/>
      <c r="H494" s="85" t="str">
        <f t="shared" si="69"/>
        <v/>
      </c>
      <c r="I494" s="85" t="str">
        <f t="shared" si="70"/>
        <v/>
      </c>
      <c r="J494" s="122"/>
      <c r="K494" s="122"/>
      <c r="L494" s="122"/>
      <c r="M494" s="89"/>
      <c r="O494" t="str">
        <f t="shared" si="71"/>
        <v/>
      </c>
      <c r="P494" t="str">
        <f t="shared" si="72"/>
        <v/>
      </c>
      <c r="Q494" t="str">
        <f t="shared" si="73"/>
        <v/>
      </c>
      <c r="R494" t="str">
        <f t="shared" si="74"/>
        <v/>
      </c>
    </row>
    <row r="495" spans="1:18">
      <c r="A495" s="85" t="str">
        <f>IF(C495="","",VLOOKUP('OPĆI DIO'!$C$3,'OPĆI DIO'!$L$6:$U$138,10,FALSE))</f>
        <v/>
      </c>
      <c r="B495" s="85" t="str">
        <f>IF(C495="","",VLOOKUP('OPĆI DIO'!$C$3,'OPĆI DIO'!$L$6:$U$138,9,FALSE))</f>
        <v/>
      </c>
      <c r="C495" s="90"/>
      <c r="D495" s="85" t="str">
        <f t="shared" si="67"/>
        <v/>
      </c>
      <c r="E495" s="90"/>
      <c r="F495" s="85" t="str">
        <f t="shared" si="68"/>
        <v/>
      </c>
      <c r="G495" s="123"/>
      <c r="H495" s="85" t="str">
        <f t="shared" si="69"/>
        <v/>
      </c>
      <c r="I495" s="85" t="str">
        <f t="shared" si="70"/>
        <v/>
      </c>
      <c r="J495" s="122"/>
      <c r="K495" s="122"/>
      <c r="L495" s="122"/>
      <c r="M495" s="89"/>
      <c r="O495" t="str">
        <f t="shared" si="71"/>
        <v/>
      </c>
      <c r="P495" t="str">
        <f t="shared" si="72"/>
        <v/>
      </c>
      <c r="Q495" t="str">
        <f t="shared" si="73"/>
        <v/>
      </c>
      <c r="R495" t="str">
        <f t="shared" si="74"/>
        <v/>
      </c>
    </row>
    <row r="496" spans="1:18">
      <c r="A496" s="85" t="str">
        <f>IF(C496="","",VLOOKUP('OPĆI DIO'!$C$3,'OPĆI DIO'!$L$6:$U$138,10,FALSE))</f>
        <v/>
      </c>
      <c r="B496" s="85" t="str">
        <f>IF(C496="","",VLOOKUP('OPĆI DIO'!$C$3,'OPĆI DIO'!$L$6:$U$138,9,FALSE))</f>
        <v/>
      </c>
      <c r="C496" s="90"/>
      <c r="D496" s="85" t="str">
        <f t="shared" si="67"/>
        <v/>
      </c>
      <c r="E496" s="90"/>
      <c r="F496" s="85" t="str">
        <f t="shared" si="68"/>
        <v/>
      </c>
      <c r="G496" s="123"/>
      <c r="H496" s="85" t="str">
        <f t="shared" si="69"/>
        <v/>
      </c>
      <c r="I496" s="85" t="str">
        <f t="shared" si="70"/>
        <v/>
      </c>
      <c r="J496" s="122"/>
      <c r="K496" s="122"/>
      <c r="L496" s="122"/>
      <c r="M496" s="89"/>
      <c r="O496" t="str">
        <f t="shared" si="71"/>
        <v/>
      </c>
      <c r="P496" t="str">
        <f t="shared" si="72"/>
        <v/>
      </c>
      <c r="Q496" t="str">
        <f t="shared" si="73"/>
        <v/>
      </c>
      <c r="R496" t="str">
        <f t="shared" si="74"/>
        <v/>
      </c>
    </row>
    <row r="497" spans="1:18">
      <c r="A497" s="85" t="str">
        <f>IF(C497="","",VLOOKUP('OPĆI DIO'!$C$3,'OPĆI DIO'!$L$6:$U$138,10,FALSE))</f>
        <v/>
      </c>
      <c r="B497" s="85" t="str">
        <f>IF(C497="","",VLOOKUP('OPĆI DIO'!$C$3,'OPĆI DIO'!$L$6:$U$138,9,FALSE))</f>
        <v/>
      </c>
      <c r="C497" s="90"/>
      <c r="D497" s="85" t="str">
        <f t="shared" si="67"/>
        <v/>
      </c>
      <c r="E497" s="90"/>
      <c r="F497" s="85" t="str">
        <f t="shared" si="68"/>
        <v/>
      </c>
      <c r="G497" s="123"/>
      <c r="H497" s="85" t="str">
        <f t="shared" si="69"/>
        <v/>
      </c>
      <c r="I497" s="85" t="str">
        <f t="shared" si="70"/>
        <v/>
      </c>
      <c r="J497" s="122"/>
      <c r="K497" s="122"/>
      <c r="L497" s="122"/>
      <c r="M497" s="89"/>
      <c r="O497" t="str">
        <f t="shared" si="71"/>
        <v/>
      </c>
      <c r="P497" t="str">
        <f t="shared" si="72"/>
        <v/>
      </c>
      <c r="Q497" t="str">
        <f t="shared" si="73"/>
        <v/>
      </c>
      <c r="R497" t="str">
        <f t="shared" si="74"/>
        <v/>
      </c>
    </row>
    <row r="498" spans="1:18">
      <c r="A498" s="85" t="str">
        <f>IF(C498="","",VLOOKUP('OPĆI DIO'!$C$3,'OPĆI DIO'!$L$6:$U$138,10,FALSE))</f>
        <v/>
      </c>
      <c r="B498" s="85" t="str">
        <f>IF(C498="","",VLOOKUP('OPĆI DIO'!$C$3,'OPĆI DIO'!$L$6:$U$138,9,FALSE))</f>
        <v/>
      </c>
      <c r="C498" s="90"/>
      <c r="D498" s="85" t="str">
        <f t="shared" si="67"/>
        <v/>
      </c>
      <c r="E498" s="90"/>
      <c r="F498" s="85" t="str">
        <f t="shared" si="68"/>
        <v/>
      </c>
      <c r="G498" s="123"/>
      <c r="H498" s="85" t="str">
        <f t="shared" si="69"/>
        <v/>
      </c>
      <c r="I498" s="85" t="str">
        <f t="shared" si="70"/>
        <v/>
      </c>
      <c r="J498" s="122"/>
      <c r="K498" s="122"/>
      <c r="L498" s="122"/>
      <c r="M498" s="89"/>
      <c r="O498" t="str">
        <f t="shared" si="71"/>
        <v/>
      </c>
      <c r="P498" t="str">
        <f t="shared" si="72"/>
        <v/>
      </c>
      <c r="Q498" t="str">
        <f t="shared" si="73"/>
        <v/>
      </c>
      <c r="R498" t="str">
        <f t="shared" si="74"/>
        <v/>
      </c>
    </row>
    <row r="499" spans="1:18">
      <c r="A499" s="85" t="str">
        <f>IF(C499="","",VLOOKUP('OPĆI DIO'!$C$3,'OPĆI DIO'!$L$6:$U$138,10,FALSE))</f>
        <v/>
      </c>
      <c r="B499" s="85" t="str">
        <f>IF(C499="","",VLOOKUP('OPĆI DIO'!$C$3,'OPĆI DIO'!$L$6:$U$138,9,FALSE))</f>
        <v/>
      </c>
      <c r="C499" s="90"/>
      <c r="D499" s="85" t="str">
        <f t="shared" si="67"/>
        <v/>
      </c>
      <c r="E499" s="90"/>
      <c r="F499" s="85" t="str">
        <f t="shared" si="68"/>
        <v/>
      </c>
      <c r="G499" s="123"/>
      <c r="H499" s="85" t="str">
        <f t="shared" si="69"/>
        <v/>
      </c>
      <c r="I499" s="85" t="str">
        <f t="shared" si="70"/>
        <v/>
      </c>
      <c r="J499" s="122"/>
      <c r="K499" s="122"/>
      <c r="L499" s="122"/>
      <c r="M499" s="89"/>
      <c r="O499" t="str">
        <f t="shared" si="71"/>
        <v/>
      </c>
      <c r="P499" t="str">
        <f t="shared" si="72"/>
        <v/>
      </c>
      <c r="Q499" t="str">
        <f t="shared" si="73"/>
        <v/>
      </c>
      <c r="R499" t="str">
        <f t="shared" si="74"/>
        <v/>
      </c>
    </row>
    <row r="500" spans="1:18">
      <c r="A500" s="85" t="str">
        <f>IF(C500="","",VLOOKUP('OPĆI DIO'!$C$3,'OPĆI DIO'!$L$6:$U$138,10,FALSE))</f>
        <v/>
      </c>
      <c r="B500" s="85" t="str">
        <f>IF(C500="","",VLOOKUP('OPĆI DIO'!$C$3,'OPĆI DIO'!$L$6:$U$138,9,FALSE))</f>
        <v/>
      </c>
      <c r="C500" s="90"/>
      <c r="D500" s="85" t="str">
        <f t="shared" si="67"/>
        <v/>
      </c>
      <c r="E500" s="90"/>
      <c r="F500" s="85" t="str">
        <f t="shared" si="68"/>
        <v/>
      </c>
      <c r="G500" s="123"/>
      <c r="H500" s="85" t="str">
        <f t="shared" si="69"/>
        <v/>
      </c>
      <c r="I500" s="85" t="str">
        <f t="shared" si="70"/>
        <v/>
      </c>
      <c r="J500" s="122"/>
      <c r="K500" s="122"/>
      <c r="L500" s="122"/>
      <c r="M500" s="89"/>
      <c r="O500" t="str">
        <f t="shared" si="71"/>
        <v/>
      </c>
      <c r="P500" t="str">
        <f t="shared" si="72"/>
        <v/>
      </c>
      <c r="Q500" t="str">
        <f t="shared" si="73"/>
        <v/>
      </c>
      <c r="R500" t="str">
        <f t="shared" si="74"/>
        <v/>
      </c>
    </row>
    <row r="501" spans="1:18">
      <c r="A501" s="85" t="str">
        <f>IF(C501="","",VLOOKUP('OPĆI DIO'!$C$3,'OPĆI DIO'!$L$6:$U$138,10,FALSE))</f>
        <v/>
      </c>
      <c r="B501" s="85" t="str">
        <f>IF(C501="","",VLOOKUP('OPĆI DIO'!$C$3,'OPĆI DIO'!$L$6:$U$138,9,FALSE))</f>
        <v/>
      </c>
      <c r="C501" s="90"/>
      <c r="D501" s="85" t="str">
        <f t="shared" si="67"/>
        <v/>
      </c>
      <c r="E501" s="90"/>
      <c r="F501" s="85" t="str">
        <f t="shared" si="68"/>
        <v/>
      </c>
      <c r="G501" s="123"/>
      <c r="H501" s="85" t="str">
        <f t="shared" si="69"/>
        <v/>
      </c>
      <c r="I501" s="85" t="str">
        <f t="shared" si="70"/>
        <v/>
      </c>
      <c r="J501" s="122"/>
      <c r="K501" s="122"/>
      <c r="L501" s="122"/>
      <c r="M501" s="89"/>
      <c r="O501" t="str">
        <f t="shared" si="71"/>
        <v/>
      </c>
      <c r="P501" t="str">
        <f t="shared" si="72"/>
        <v/>
      </c>
      <c r="Q501" t="str">
        <f t="shared" si="73"/>
        <v/>
      </c>
      <c r="R501" t="str">
        <f t="shared" si="74"/>
        <v/>
      </c>
    </row>
    <row r="502" spans="1:18"/>
  </sheetData>
  <sheetProtection algorithmName="SHA-512" hashValue="Gc4r/rg6cIDW1vMA/nKOG3mjVmatNMYRM4vl0qDveJXo82cN7Cfsz4imBGnj0ja/ajonxtiWISfhTUm8sg1HFA==" saltValue="ZzWL965hqjyQ3t48c0eMlA==" spinCount="100000" sheet="1" selectLockedCells="1"/>
  <sortState xmlns:xlrd2="http://schemas.microsoft.com/office/spreadsheetml/2017/richdata2" ref="AB9:AC71">
    <sortCondition ref="AB6"/>
  </sortState>
  <mergeCells count="1">
    <mergeCell ref="A1:D1"/>
  </mergeCells>
  <conditionalFormatting sqref="M3:M501">
    <cfRule type="expression" dxfId="1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L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 xr:uid="{00000000-0002-0000-0200-000004000000}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G1090"/>
  <sheetViews>
    <sheetView showGridLines="0" zoomScale="120" zoomScaleNormal="120" workbookViewId="0">
      <pane ySplit="2" topLeftCell="A18" activePane="bottomLeft" state="frozen"/>
      <selection pane="bottomLeft" activeCell="C18" sqref="C18:C68"/>
    </sheetView>
  </sheetViews>
  <sheetFormatPr defaultColWidth="0" defaultRowHeight="15" zeroHeight="1"/>
  <cols>
    <col min="1" max="1" width="12.85546875" customWidth="1"/>
    <col min="2" max="2" width="32.140625" customWidth="1"/>
    <col min="3" max="3" width="11.7109375" customWidth="1"/>
    <col min="4" max="4" width="25.42578125" customWidth="1"/>
    <col min="5" max="5" width="16.42578125" customWidth="1"/>
    <col min="6" max="6" width="30.28515625" customWidth="1"/>
    <col min="7" max="7" width="6.140625" bestFit="1" customWidth="1"/>
    <col min="8" max="8" width="16.42578125" style="7" customWidth="1"/>
    <col min="9" max="9" width="15.7109375" style="7" customWidth="1"/>
    <col min="10" max="10" width="15.140625" style="7" customWidth="1"/>
    <col min="11" max="11" width="33.7109375" style="7" customWidth="1"/>
    <col min="12" max="13" width="9.5703125" style="7" customWidth="1"/>
    <col min="14" max="14" width="15.140625" style="7" customWidth="1"/>
    <col min="15" max="15" width="18.28515625" style="7" customWidth="1"/>
    <col min="16" max="16" width="51.7109375" style="7" customWidth="1"/>
    <col min="17" max="17" width="9.140625" customWidth="1"/>
    <col min="18" max="21" width="9.140625" hidden="1" customWidth="1"/>
    <col min="22" max="22" width="46.5703125" hidden="1" customWidth="1"/>
    <col min="23" max="24" width="9.140625" hidden="1" customWidth="1"/>
    <col min="25" max="25" width="58.85546875" hidden="1" customWidth="1"/>
    <col min="26" max="29" width="9.140625" hidden="1" customWidth="1"/>
    <col min="30" max="30" width="14.7109375" hidden="1" customWidth="1"/>
    <col min="31" max="33" width="0" hidden="1" customWidth="1"/>
    <col min="34" max="16384" width="9.140625" hidden="1"/>
  </cols>
  <sheetData>
    <row r="1" spans="1:33" ht="35.25" customHeight="1">
      <c r="A1" s="303" t="s">
        <v>664</v>
      </c>
      <c r="B1" s="303"/>
      <c r="C1" s="127" t="str">
        <f>IF(OR('OPĆI DIO'!A3="odaberite -",'OPĆI DIO'!A3=""),"Molimo odaberite proračunskog korisnika na radnom listu Opći podaci!","")</f>
        <v>Molimo odaberite proračunskog korisnika na radnom listu Opći podaci!</v>
      </c>
      <c r="J1" s="185" t="s">
        <v>5269</v>
      </c>
    </row>
    <row r="2" spans="1:33" ht="60">
      <c r="A2" s="87" t="s">
        <v>659</v>
      </c>
      <c r="B2" s="83" t="s">
        <v>41</v>
      </c>
      <c r="C2" s="87" t="s">
        <v>657</v>
      </c>
      <c r="D2" s="83" t="s">
        <v>658</v>
      </c>
      <c r="E2" s="87" t="s">
        <v>665</v>
      </c>
      <c r="F2" s="83" t="s">
        <v>43</v>
      </c>
      <c r="G2" s="252" t="s">
        <v>5113</v>
      </c>
      <c r="H2" s="129" t="s">
        <v>3025</v>
      </c>
      <c r="I2" s="129" t="s">
        <v>1779</v>
      </c>
      <c r="J2" s="129" t="s">
        <v>3024</v>
      </c>
      <c r="K2" s="136" t="s">
        <v>666</v>
      </c>
      <c r="L2" s="136" t="s">
        <v>667</v>
      </c>
      <c r="M2" s="136" t="s">
        <v>668</v>
      </c>
      <c r="N2" s="136" t="s">
        <v>669</v>
      </c>
      <c r="O2" s="136" t="s">
        <v>670</v>
      </c>
      <c r="P2" s="246" t="s">
        <v>5081</v>
      </c>
      <c r="R2" s="84" t="s">
        <v>637</v>
      </c>
      <c r="S2" s="84" t="s">
        <v>638</v>
      </c>
      <c r="T2" s="188"/>
    </row>
    <row r="3" spans="1:33">
      <c r="A3" s="90">
        <v>52</v>
      </c>
      <c r="B3" s="85" t="str">
        <f t="shared" ref="B3" si="0">IFERROR(VLOOKUP(A3,$U$6:$V$23,2,FALSE),"")</f>
        <v>Ostale pomoći</v>
      </c>
      <c r="C3" s="90">
        <v>3721</v>
      </c>
      <c r="D3" s="85" t="str">
        <f>IFERROR(VLOOKUP(C3,$X$5:$Z$129,2,FALSE),"")</f>
        <v>Naknade građanima i kućanstvima u novcu</v>
      </c>
      <c r="E3" s="123" t="s">
        <v>2851</v>
      </c>
      <c r="F3" s="85" t="str">
        <f>IFERROR(VLOOKUP(E3,$AD$6:$AE$1090,2,FALSE),"")</f>
        <v>HRZZ IP-2019-04 MORENEC</v>
      </c>
      <c r="G3" s="85" t="str">
        <f>IFERROR(VLOOKUP(E3,$AD$6:$AG$1090,4,FALSE),"")</f>
        <v>0942</v>
      </c>
      <c r="H3" s="122">
        <v>949</v>
      </c>
      <c r="I3" s="122">
        <v>949</v>
      </c>
      <c r="J3" s="122">
        <v>0</v>
      </c>
      <c r="K3" s="135"/>
      <c r="L3" s="134"/>
      <c r="M3" s="134"/>
      <c r="N3" s="135"/>
      <c r="O3" s="266"/>
      <c r="P3" s="89"/>
      <c r="R3" t="str">
        <f>LEFT(C3,3)</f>
        <v>372</v>
      </c>
      <c r="S3" t="str">
        <f>LEFT(C3,2)</f>
        <v>37</v>
      </c>
      <c r="T3" t="str">
        <f>MID(G3,2,2)</f>
        <v>94</v>
      </c>
    </row>
    <row r="4" spans="1:33">
      <c r="A4" s="90">
        <v>52</v>
      </c>
      <c r="B4" s="85" t="str">
        <f t="shared" ref="B4:B67" si="1">IFERROR(VLOOKUP(A4,$U$6:$V$23,2,FALSE),"")</f>
        <v>Ostale pomoći</v>
      </c>
      <c r="C4" s="90">
        <v>3241</v>
      </c>
      <c r="D4" s="85" t="str">
        <f t="shared" ref="D4:D67" si="2">IFERROR(VLOOKUP(C4,$X$5:$Z$129,2,FALSE),"")</f>
        <v>Naknade troškova osobama izvan radnog odnosa</v>
      </c>
      <c r="E4" s="123" t="s">
        <v>2851</v>
      </c>
      <c r="F4" s="85" t="str">
        <f t="shared" ref="F4:F67" si="3">IFERROR(VLOOKUP(E4,$AD$6:$AE$1090,2,FALSE),"")</f>
        <v>HRZZ IP-2019-04 MORENEC</v>
      </c>
      <c r="G4" s="85" t="str">
        <f t="shared" ref="G4:G67" si="4">IFERROR(VLOOKUP(E4,$AD$6:$AG$1090,4,FALSE),"")</f>
        <v>0942</v>
      </c>
      <c r="H4" s="122">
        <v>1944</v>
      </c>
      <c r="I4" s="122">
        <v>1325</v>
      </c>
      <c r="J4" s="122">
        <v>0</v>
      </c>
      <c r="K4" s="135"/>
      <c r="L4" s="134"/>
      <c r="M4" s="134"/>
      <c r="N4" s="135"/>
      <c r="O4" s="266"/>
      <c r="P4" s="89"/>
      <c r="R4" t="str">
        <f t="shared" ref="R4:R67" si="5">LEFT(C4,3)</f>
        <v>324</v>
      </c>
      <c r="S4" t="str">
        <f t="shared" ref="S4:S67" si="6">LEFT(C4,2)</f>
        <v>32</v>
      </c>
      <c r="T4" t="str">
        <f t="shared" ref="T4:T67" si="7">MID(G4,2,2)</f>
        <v>94</v>
      </c>
      <c r="X4" s="86"/>
      <c r="Y4" s="86"/>
    </row>
    <row r="5" spans="1:33">
      <c r="A5" s="90">
        <v>52</v>
      </c>
      <c r="B5" s="85" t="str">
        <f t="shared" si="1"/>
        <v>Ostale pomoći</v>
      </c>
      <c r="C5" s="90">
        <v>3211</v>
      </c>
      <c r="D5" s="85" t="str">
        <f t="shared" si="2"/>
        <v>Službena putovanja</v>
      </c>
      <c r="E5" s="123" t="s">
        <v>2851</v>
      </c>
      <c r="F5" s="85" t="str">
        <f t="shared" si="3"/>
        <v>HRZZ IP-2019-04 MORENEC</v>
      </c>
      <c r="G5" s="85" t="str">
        <f t="shared" si="4"/>
        <v>0942</v>
      </c>
      <c r="H5" s="122">
        <v>3497</v>
      </c>
      <c r="I5" s="122">
        <v>548</v>
      </c>
      <c r="J5" s="122">
        <v>0</v>
      </c>
      <c r="K5" s="135"/>
      <c r="L5" s="134"/>
      <c r="M5" s="134"/>
      <c r="N5" s="135"/>
      <c r="O5" s="266"/>
      <c r="P5" s="89"/>
      <c r="R5" t="str">
        <f t="shared" si="5"/>
        <v>321</v>
      </c>
      <c r="S5" t="str">
        <f t="shared" si="6"/>
        <v>32</v>
      </c>
      <c r="T5" t="str">
        <f t="shared" si="7"/>
        <v>94</v>
      </c>
      <c r="U5" t="s">
        <v>40</v>
      </c>
      <c r="V5" t="s">
        <v>41</v>
      </c>
      <c r="X5">
        <v>3111</v>
      </c>
      <c r="Y5" t="s">
        <v>47</v>
      </c>
      <c r="AA5" t="str">
        <f t="shared" ref="AA5:AA68" si="8">LEFT(X5,2)</f>
        <v>31</v>
      </c>
      <c r="AB5" t="str">
        <f>LEFT(X5,3)</f>
        <v>311</v>
      </c>
      <c r="AD5" t="s">
        <v>42</v>
      </c>
      <c r="AE5" t="s">
        <v>43</v>
      </c>
    </row>
    <row r="6" spans="1:33">
      <c r="A6" s="90">
        <v>52</v>
      </c>
      <c r="B6" s="85" t="str">
        <f t="shared" si="1"/>
        <v>Ostale pomoći</v>
      </c>
      <c r="C6" s="90">
        <v>3293</v>
      </c>
      <c r="D6" s="85" t="str">
        <f t="shared" si="2"/>
        <v>Reprezentacija</v>
      </c>
      <c r="E6" s="123" t="s">
        <v>2851</v>
      </c>
      <c r="F6" s="85" t="str">
        <f t="shared" si="3"/>
        <v>HRZZ IP-2019-04 MORENEC</v>
      </c>
      <c r="G6" s="85" t="str">
        <f t="shared" si="4"/>
        <v>0942</v>
      </c>
      <c r="H6" s="122">
        <v>1660</v>
      </c>
      <c r="I6" s="122">
        <v>1026</v>
      </c>
      <c r="J6" s="122">
        <v>0</v>
      </c>
      <c r="K6" s="135"/>
      <c r="L6" s="134"/>
      <c r="M6" s="134"/>
      <c r="N6" s="135"/>
      <c r="O6" s="266"/>
      <c r="P6" s="89"/>
      <c r="R6" t="str">
        <f t="shared" si="5"/>
        <v>329</v>
      </c>
      <c r="S6" t="str">
        <f t="shared" si="6"/>
        <v>32</v>
      </c>
      <c r="T6" t="str">
        <f t="shared" si="7"/>
        <v>94</v>
      </c>
      <c r="U6">
        <v>11</v>
      </c>
      <c r="V6" t="s">
        <v>46</v>
      </c>
      <c r="X6">
        <v>3112</v>
      </c>
      <c r="Y6" t="s">
        <v>146</v>
      </c>
      <c r="AA6" t="str">
        <f t="shared" si="8"/>
        <v>31</v>
      </c>
      <c r="AB6" t="str">
        <f t="shared" ref="AB6:AB69" si="9">LEFT(X6,3)</f>
        <v>311</v>
      </c>
      <c r="AD6" t="s">
        <v>699</v>
      </c>
      <c r="AE6" t="s">
        <v>699</v>
      </c>
      <c r="AF6" t="s">
        <v>699</v>
      </c>
      <c r="AG6" t="s">
        <v>699</v>
      </c>
    </row>
    <row r="7" spans="1:33">
      <c r="A7" s="90">
        <v>52</v>
      </c>
      <c r="B7" s="85" t="str">
        <f t="shared" si="1"/>
        <v>Ostale pomoći</v>
      </c>
      <c r="C7" s="90">
        <v>3233</v>
      </c>
      <c r="D7" s="85" t="str">
        <f t="shared" si="2"/>
        <v>Usluge promidžbe i informiranja</v>
      </c>
      <c r="E7" s="123" t="s">
        <v>2851</v>
      </c>
      <c r="F7" s="85" t="str">
        <f t="shared" si="3"/>
        <v>HRZZ IP-2019-04 MORENEC</v>
      </c>
      <c r="G7" s="85" t="str">
        <f t="shared" si="4"/>
        <v>0942</v>
      </c>
      <c r="H7" s="122">
        <v>1563</v>
      </c>
      <c r="I7" s="122">
        <v>701</v>
      </c>
      <c r="J7" s="122">
        <v>0</v>
      </c>
      <c r="K7" s="135"/>
      <c r="L7" s="134"/>
      <c r="M7" s="134"/>
      <c r="N7" s="135"/>
      <c r="O7" s="266"/>
      <c r="P7" s="89"/>
      <c r="R7" t="str">
        <f t="shared" si="5"/>
        <v>323</v>
      </c>
      <c r="S7" t="str">
        <f t="shared" si="6"/>
        <v>32</v>
      </c>
      <c r="T7" t="str">
        <f t="shared" si="7"/>
        <v>94</v>
      </c>
      <c r="U7">
        <v>12</v>
      </c>
      <c r="V7" t="s">
        <v>232</v>
      </c>
      <c r="X7">
        <v>3113</v>
      </c>
      <c r="Y7" t="s">
        <v>125</v>
      </c>
      <c r="AA7" t="str">
        <f t="shared" si="8"/>
        <v>31</v>
      </c>
      <c r="AB7" t="str">
        <f t="shared" si="9"/>
        <v>311</v>
      </c>
      <c r="AD7" t="s">
        <v>1169</v>
      </c>
      <c r="AE7" t="s">
        <v>1170</v>
      </c>
      <c r="AF7" t="str">
        <f>LEFT(AD7,7)</f>
        <v>K578051</v>
      </c>
      <c r="AG7" t="str">
        <f>VLOOKUP(AF7,AKT!$C$4:$E$324,3,FALSE)</f>
        <v>0150</v>
      </c>
    </row>
    <row r="8" spans="1:33">
      <c r="A8" s="90">
        <v>52</v>
      </c>
      <c r="B8" s="85" t="str">
        <f t="shared" si="1"/>
        <v>Ostale pomoći</v>
      </c>
      <c r="C8" s="90">
        <v>3237</v>
      </c>
      <c r="D8" s="85" t="str">
        <f t="shared" si="2"/>
        <v>Intelektualne i osobne usluge</v>
      </c>
      <c r="E8" s="123" t="s">
        <v>2851</v>
      </c>
      <c r="F8" s="85" t="str">
        <f t="shared" si="3"/>
        <v>HRZZ IP-2019-04 MORENEC</v>
      </c>
      <c r="G8" s="85" t="str">
        <f t="shared" si="4"/>
        <v>0942</v>
      </c>
      <c r="H8" s="122">
        <v>2023</v>
      </c>
      <c r="I8" s="122">
        <v>2023</v>
      </c>
      <c r="J8" s="122">
        <v>0</v>
      </c>
      <c r="K8" s="135"/>
      <c r="L8" s="134"/>
      <c r="M8" s="134"/>
      <c r="N8" s="135"/>
      <c r="O8" s="266"/>
      <c r="P8" s="89"/>
      <c r="R8" t="str">
        <f t="shared" si="5"/>
        <v>323</v>
      </c>
      <c r="S8" t="str">
        <f t="shared" si="6"/>
        <v>32</v>
      </c>
      <c r="T8" t="str">
        <f t="shared" si="7"/>
        <v>94</v>
      </c>
      <c r="U8">
        <v>31</v>
      </c>
      <c r="V8" t="s">
        <v>91</v>
      </c>
      <c r="X8">
        <v>3114</v>
      </c>
      <c r="Y8" t="s">
        <v>147</v>
      </c>
      <c r="AA8" t="str">
        <f t="shared" si="8"/>
        <v>31</v>
      </c>
      <c r="AB8" t="str">
        <f t="shared" si="9"/>
        <v>311</v>
      </c>
      <c r="AD8" t="s">
        <v>1171</v>
      </c>
      <c r="AE8" t="s">
        <v>1172</v>
      </c>
      <c r="AF8" t="str">
        <f t="shared" ref="AF8:AF71" si="10">LEFT(AD8,7)</f>
        <v>K578051</v>
      </c>
      <c r="AG8" t="str">
        <f>VLOOKUP(AF8,AKT!$C$4:$E$324,3,FALSE)</f>
        <v>0150</v>
      </c>
    </row>
    <row r="9" spans="1:33">
      <c r="A9" s="90">
        <v>52</v>
      </c>
      <c r="B9" s="85" t="str">
        <f t="shared" si="1"/>
        <v>Ostale pomoći</v>
      </c>
      <c r="C9" s="90">
        <v>3213</v>
      </c>
      <c r="D9" s="85" t="str">
        <f t="shared" si="2"/>
        <v>Stručno usavršavanje zaposlenika</v>
      </c>
      <c r="E9" s="123" t="s">
        <v>2851</v>
      </c>
      <c r="F9" s="85" t="str">
        <f t="shared" si="3"/>
        <v>HRZZ IP-2019-04 MORENEC</v>
      </c>
      <c r="G9" s="85" t="str">
        <f t="shared" si="4"/>
        <v>0942</v>
      </c>
      <c r="H9" s="122">
        <v>1970</v>
      </c>
      <c r="I9" s="122">
        <v>860</v>
      </c>
      <c r="J9" s="122">
        <v>0</v>
      </c>
      <c r="K9" s="135"/>
      <c r="L9" s="134"/>
      <c r="M9" s="134"/>
      <c r="N9" s="135"/>
      <c r="O9" s="266"/>
      <c r="P9" s="89"/>
      <c r="R9" t="str">
        <f t="shared" si="5"/>
        <v>321</v>
      </c>
      <c r="S9" t="str">
        <f t="shared" si="6"/>
        <v>32</v>
      </c>
      <c r="T9" t="str">
        <f t="shared" si="7"/>
        <v>94</v>
      </c>
      <c r="U9">
        <v>41</v>
      </c>
      <c r="V9" t="s">
        <v>1209</v>
      </c>
      <c r="X9">
        <v>3121</v>
      </c>
      <c r="Y9" t="s">
        <v>50</v>
      </c>
      <c r="AA9" t="str">
        <f t="shared" si="8"/>
        <v>31</v>
      </c>
      <c r="AB9" t="str">
        <f t="shared" si="9"/>
        <v>312</v>
      </c>
      <c r="AD9" t="s">
        <v>1173</v>
      </c>
      <c r="AE9" t="s">
        <v>1174</v>
      </c>
      <c r="AF9" t="str">
        <f t="shared" si="10"/>
        <v>K578051</v>
      </c>
      <c r="AG9" t="str">
        <f>VLOOKUP(AF9,AKT!$C$4:$E$324,3,FALSE)</f>
        <v>0150</v>
      </c>
    </row>
    <row r="10" spans="1:33">
      <c r="A10" s="90">
        <v>52</v>
      </c>
      <c r="B10" s="85" t="str">
        <f t="shared" si="1"/>
        <v>Ostale pomoći</v>
      </c>
      <c r="C10" s="90">
        <v>3239</v>
      </c>
      <c r="D10" s="85" t="str">
        <f t="shared" si="2"/>
        <v>Ostale usluge</v>
      </c>
      <c r="E10" s="123" t="s">
        <v>2851</v>
      </c>
      <c r="F10" s="85" t="str">
        <f t="shared" si="3"/>
        <v>HRZZ IP-2019-04 MORENEC</v>
      </c>
      <c r="G10" s="85" t="str">
        <f t="shared" si="4"/>
        <v>0942</v>
      </c>
      <c r="H10" s="122">
        <v>3298</v>
      </c>
      <c r="I10" s="122">
        <v>2227</v>
      </c>
      <c r="J10" s="122">
        <v>0</v>
      </c>
      <c r="K10" s="135"/>
      <c r="L10" s="134"/>
      <c r="M10" s="134"/>
      <c r="N10" s="135"/>
      <c r="O10" s="266"/>
      <c r="P10" s="89"/>
      <c r="R10" t="str">
        <f t="shared" si="5"/>
        <v>323</v>
      </c>
      <c r="S10" t="str">
        <f t="shared" si="6"/>
        <v>32</v>
      </c>
      <c r="T10" t="str">
        <f t="shared" si="7"/>
        <v>94</v>
      </c>
      <c r="U10">
        <v>43</v>
      </c>
      <c r="V10" t="s">
        <v>96</v>
      </c>
      <c r="X10" s="132">
        <v>3132</v>
      </c>
      <c r="Y10" s="132" t="s">
        <v>51</v>
      </c>
      <c r="Z10" s="132"/>
      <c r="AA10" s="132" t="str">
        <f t="shared" si="8"/>
        <v>31</v>
      </c>
      <c r="AB10" s="132" t="str">
        <f t="shared" si="9"/>
        <v>313</v>
      </c>
      <c r="AD10" t="s">
        <v>1175</v>
      </c>
      <c r="AE10" t="s">
        <v>258</v>
      </c>
      <c r="AF10" t="str">
        <f t="shared" si="10"/>
        <v>K578051</v>
      </c>
      <c r="AG10" t="str">
        <f>VLOOKUP(AF10,AKT!$C$4:$E$324,3,FALSE)</f>
        <v>0150</v>
      </c>
    </row>
    <row r="11" spans="1:33">
      <c r="A11" s="90">
        <v>52</v>
      </c>
      <c r="B11" s="85" t="str">
        <f t="shared" si="1"/>
        <v>Ostale pomoći</v>
      </c>
      <c r="C11" s="90">
        <v>3214</v>
      </c>
      <c r="D11" s="85" t="str">
        <f t="shared" si="2"/>
        <v>Ostale naknade troškova zaposlenima</v>
      </c>
      <c r="E11" s="123" t="s">
        <v>2851</v>
      </c>
      <c r="F11" s="85" t="str">
        <f t="shared" si="3"/>
        <v>HRZZ IP-2019-04 MORENEC</v>
      </c>
      <c r="G11" s="85" t="str">
        <f t="shared" si="4"/>
        <v>0942</v>
      </c>
      <c r="H11" s="122">
        <v>1771</v>
      </c>
      <c r="I11" s="122">
        <v>1161</v>
      </c>
      <c r="J11" s="122">
        <v>0</v>
      </c>
      <c r="K11" s="135"/>
      <c r="L11" s="134"/>
      <c r="M11" s="134"/>
      <c r="N11" s="135"/>
      <c r="O11" s="266"/>
      <c r="P11" s="89"/>
      <c r="R11" t="str">
        <f t="shared" si="5"/>
        <v>321</v>
      </c>
      <c r="S11" t="str">
        <f t="shared" si="6"/>
        <v>32</v>
      </c>
      <c r="T11" t="str">
        <f t="shared" si="7"/>
        <v>94</v>
      </c>
      <c r="U11">
        <v>51</v>
      </c>
      <c r="V11" t="s">
        <v>86</v>
      </c>
      <c r="X11">
        <v>3211</v>
      </c>
      <c r="Y11" t="s">
        <v>78</v>
      </c>
      <c r="AA11" t="str">
        <f t="shared" si="8"/>
        <v>32</v>
      </c>
      <c r="AB11" t="str">
        <f t="shared" si="9"/>
        <v>321</v>
      </c>
      <c r="AD11" t="s">
        <v>1176</v>
      </c>
      <c r="AE11" t="s">
        <v>1177</v>
      </c>
      <c r="AF11" t="str">
        <f t="shared" si="10"/>
        <v>K578051</v>
      </c>
      <c r="AG11" t="str">
        <f>VLOOKUP(AF11,AKT!$C$4:$E$324,3,FALSE)</f>
        <v>0150</v>
      </c>
    </row>
    <row r="12" spans="1:33">
      <c r="A12" s="90">
        <v>52</v>
      </c>
      <c r="B12" s="85" t="str">
        <f t="shared" si="1"/>
        <v>Ostale pomoći</v>
      </c>
      <c r="C12" s="90">
        <v>3231</v>
      </c>
      <c r="D12" s="85" t="str">
        <f t="shared" si="2"/>
        <v>Usluge telefona, pošte i prijevoza</v>
      </c>
      <c r="E12" s="123" t="s">
        <v>2851</v>
      </c>
      <c r="F12" s="85" t="str">
        <f t="shared" si="3"/>
        <v>HRZZ IP-2019-04 MORENEC</v>
      </c>
      <c r="G12" s="85" t="str">
        <f t="shared" si="4"/>
        <v>0942</v>
      </c>
      <c r="H12" s="122">
        <v>3513</v>
      </c>
      <c r="I12" s="122">
        <v>751</v>
      </c>
      <c r="J12" s="122">
        <v>0</v>
      </c>
      <c r="K12" s="135"/>
      <c r="L12" s="134"/>
      <c r="M12" s="134"/>
      <c r="N12" s="135"/>
      <c r="O12" s="266"/>
      <c r="P12" s="89"/>
      <c r="R12" t="str">
        <f t="shared" si="5"/>
        <v>323</v>
      </c>
      <c r="S12" t="str">
        <f t="shared" si="6"/>
        <v>32</v>
      </c>
      <c r="T12" t="str">
        <f t="shared" si="7"/>
        <v>94</v>
      </c>
      <c r="U12">
        <v>52</v>
      </c>
      <c r="V12" t="s">
        <v>109</v>
      </c>
      <c r="X12">
        <v>3212</v>
      </c>
      <c r="Y12" t="s">
        <v>52</v>
      </c>
      <c r="AA12" t="str">
        <f t="shared" si="8"/>
        <v>32</v>
      </c>
      <c r="AB12" t="str">
        <f t="shared" si="9"/>
        <v>321</v>
      </c>
      <c r="AD12" t="s">
        <v>1178</v>
      </c>
      <c r="AE12" t="s">
        <v>1179</v>
      </c>
      <c r="AF12" t="str">
        <f t="shared" si="10"/>
        <v>K578051</v>
      </c>
      <c r="AG12" t="str">
        <f>VLOOKUP(AF12,AKT!$C$4:$E$324,3,FALSE)</f>
        <v>0150</v>
      </c>
    </row>
    <row r="13" spans="1:33">
      <c r="A13" s="90">
        <v>52</v>
      </c>
      <c r="B13" s="85" t="str">
        <f t="shared" ref="B13:B19" si="11">IFERROR(VLOOKUP(A13,$U$6:$V$23,2,FALSE),"")</f>
        <v>Ostale pomoći</v>
      </c>
      <c r="C13" s="90">
        <v>3237</v>
      </c>
      <c r="D13" s="85" t="str">
        <f t="shared" ref="D13:D18" si="12">IFERROR(VLOOKUP(C13,$X$5:$Z$129,2,FALSE),"")</f>
        <v>Intelektualne i osobne usluge</v>
      </c>
      <c r="E13" s="123" t="s">
        <v>3218</v>
      </c>
      <c r="F13" s="85" t="str">
        <f t="shared" ref="F13:F18" si="13">IFERROR(VLOOKUP(E13,$AD$6:$AE$1090,2,FALSE),"")</f>
        <v>MODERNE MISLEĆE ŽENE-HRZZ IP-01-2018</v>
      </c>
      <c r="G13" s="85" t="str">
        <f t="shared" ref="G13:G18" si="14">IFERROR(VLOOKUP(E13,$AD$6:$AG$1090,4,FALSE),"")</f>
        <v>0942</v>
      </c>
      <c r="H13" s="122">
        <v>604</v>
      </c>
      <c r="I13" s="122">
        <v>0</v>
      </c>
      <c r="J13" s="122">
        <v>0</v>
      </c>
      <c r="K13" s="135"/>
      <c r="L13" s="134"/>
      <c r="M13" s="134"/>
      <c r="N13" s="135"/>
      <c r="O13" s="266"/>
      <c r="P13" s="89"/>
      <c r="R13" t="str">
        <f t="shared" ref="R13:R18" si="15">LEFT(C13,3)</f>
        <v>323</v>
      </c>
      <c r="S13" t="str">
        <f t="shared" ref="S13:S18" si="16">LEFT(C13,2)</f>
        <v>32</v>
      </c>
      <c r="T13" t="str">
        <f t="shared" si="7"/>
        <v>94</v>
      </c>
      <c r="U13">
        <v>552</v>
      </c>
      <c r="V13" t="s">
        <v>1210</v>
      </c>
      <c r="X13">
        <v>3213</v>
      </c>
      <c r="Y13" t="s">
        <v>97</v>
      </c>
      <c r="AA13" t="str">
        <f t="shared" si="8"/>
        <v>32</v>
      </c>
      <c r="AB13" t="str">
        <f t="shared" si="9"/>
        <v>321</v>
      </c>
      <c r="AD13" t="s">
        <v>1180</v>
      </c>
      <c r="AE13" t="s">
        <v>1181</v>
      </c>
      <c r="AF13" t="str">
        <f t="shared" si="10"/>
        <v>K578051</v>
      </c>
      <c r="AG13" t="str">
        <f>VLOOKUP(AF13,AKT!$C$4:$E$324,3,FALSE)</f>
        <v>0150</v>
      </c>
    </row>
    <row r="14" spans="1:33">
      <c r="A14" s="90">
        <v>52</v>
      </c>
      <c r="B14" s="85" t="str">
        <f t="shared" si="11"/>
        <v>Ostale pomoći</v>
      </c>
      <c r="C14" s="90">
        <v>3233</v>
      </c>
      <c r="D14" s="85" t="str">
        <f t="shared" si="12"/>
        <v>Usluge promidžbe i informiranja</v>
      </c>
      <c r="E14" s="123" t="s">
        <v>3218</v>
      </c>
      <c r="F14" s="85" t="str">
        <f t="shared" si="13"/>
        <v>MODERNE MISLEĆE ŽENE-HRZZ IP-01-2018</v>
      </c>
      <c r="G14" s="85" t="str">
        <f t="shared" si="14"/>
        <v>0942</v>
      </c>
      <c r="H14" s="122">
        <v>524</v>
      </c>
      <c r="I14" s="122">
        <v>0</v>
      </c>
      <c r="J14" s="122">
        <v>0</v>
      </c>
      <c r="K14" s="135"/>
      <c r="L14" s="134"/>
      <c r="M14" s="134"/>
      <c r="N14" s="135"/>
      <c r="O14" s="266"/>
      <c r="P14" s="89"/>
      <c r="R14" t="str">
        <f t="shared" si="15"/>
        <v>323</v>
      </c>
      <c r="S14" t="str">
        <f t="shared" si="16"/>
        <v>32</v>
      </c>
      <c r="T14" t="str">
        <f t="shared" si="7"/>
        <v>94</v>
      </c>
      <c r="U14">
        <v>559</v>
      </c>
      <c r="V14" t="s">
        <v>1211</v>
      </c>
      <c r="X14">
        <v>3214</v>
      </c>
      <c r="Y14" t="s">
        <v>126</v>
      </c>
      <c r="AA14" t="str">
        <f t="shared" si="8"/>
        <v>32</v>
      </c>
      <c r="AB14" t="str">
        <f t="shared" si="9"/>
        <v>321</v>
      </c>
      <c r="AD14" t="s">
        <v>1182</v>
      </c>
      <c r="AE14" t="s">
        <v>1183</v>
      </c>
      <c r="AF14" t="str">
        <f t="shared" si="10"/>
        <v>K578051</v>
      </c>
      <c r="AG14" t="str">
        <f>VLOOKUP(AF14,AKT!$C$4:$E$324,3,FALSE)</f>
        <v>0150</v>
      </c>
    </row>
    <row r="15" spans="1:33">
      <c r="A15" s="90">
        <v>52</v>
      </c>
      <c r="B15" s="85" t="str">
        <f t="shared" si="11"/>
        <v>Ostale pomoći</v>
      </c>
      <c r="C15" s="90">
        <v>3293</v>
      </c>
      <c r="D15" s="85" t="str">
        <f t="shared" si="12"/>
        <v>Reprezentacija</v>
      </c>
      <c r="E15" s="123" t="s">
        <v>3218</v>
      </c>
      <c r="F15" s="85" t="str">
        <f t="shared" si="13"/>
        <v>MODERNE MISLEĆE ŽENE-HRZZ IP-01-2018</v>
      </c>
      <c r="G15" s="85" t="str">
        <f t="shared" si="14"/>
        <v>0942</v>
      </c>
      <c r="H15" s="122">
        <v>969</v>
      </c>
      <c r="I15" s="122">
        <v>0</v>
      </c>
      <c r="J15" s="122">
        <v>0</v>
      </c>
      <c r="K15" s="135"/>
      <c r="L15" s="134"/>
      <c r="M15" s="134"/>
      <c r="N15" s="135"/>
      <c r="O15" s="266"/>
      <c r="P15" s="89"/>
      <c r="R15" t="str">
        <f t="shared" si="15"/>
        <v>329</v>
      </c>
      <c r="S15" t="str">
        <f t="shared" si="16"/>
        <v>32</v>
      </c>
      <c r="T15" t="str">
        <f t="shared" si="7"/>
        <v>94</v>
      </c>
      <c r="U15">
        <v>561</v>
      </c>
      <c r="V15" t="s">
        <v>111</v>
      </c>
      <c r="X15">
        <v>3221</v>
      </c>
      <c r="Y15" t="s">
        <v>79</v>
      </c>
      <c r="AA15" t="str">
        <f t="shared" si="8"/>
        <v>32</v>
      </c>
      <c r="AB15" t="str">
        <f t="shared" si="9"/>
        <v>322</v>
      </c>
      <c r="AD15" t="s">
        <v>1132</v>
      </c>
      <c r="AE15" t="s">
        <v>1133</v>
      </c>
      <c r="AF15" t="str">
        <f t="shared" si="10"/>
        <v>K818050</v>
      </c>
      <c r="AG15" t="str">
        <f>VLOOKUP(AF15,AKT!$C$4:$E$324,3,FALSE)</f>
        <v>0950</v>
      </c>
    </row>
    <row r="16" spans="1:33">
      <c r="A16" s="90">
        <v>52</v>
      </c>
      <c r="B16" s="85" t="str">
        <f t="shared" si="11"/>
        <v>Ostale pomoći</v>
      </c>
      <c r="C16" s="90">
        <v>3241</v>
      </c>
      <c r="D16" s="85" t="str">
        <f t="shared" si="12"/>
        <v>Naknade troškova osobama izvan radnog odnosa</v>
      </c>
      <c r="E16" s="123" t="s">
        <v>3218</v>
      </c>
      <c r="F16" s="85" t="str">
        <f t="shared" si="13"/>
        <v>MODERNE MISLEĆE ŽENE-HRZZ IP-01-2018</v>
      </c>
      <c r="G16" s="85" t="str">
        <f t="shared" si="14"/>
        <v>0942</v>
      </c>
      <c r="H16" s="122">
        <v>628</v>
      </c>
      <c r="I16" s="122">
        <v>0</v>
      </c>
      <c r="J16" s="122">
        <v>0</v>
      </c>
      <c r="K16" s="135"/>
      <c r="L16" s="134"/>
      <c r="M16" s="134"/>
      <c r="N16" s="135"/>
      <c r="O16" s="266"/>
      <c r="P16" s="89"/>
      <c r="R16" t="str">
        <f t="shared" si="15"/>
        <v>324</v>
      </c>
      <c r="S16" t="str">
        <f t="shared" si="16"/>
        <v>32</v>
      </c>
      <c r="T16" t="str">
        <f t="shared" si="7"/>
        <v>94</v>
      </c>
      <c r="U16">
        <v>563</v>
      </c>
      <c r="V16" t="s">
        <v>113</v>
      </c>
      <c r="X16">
        <v>3222</v>
      </c>
      <c r="Y16" t="s">
        <v>100</v>
      </c>
      <c r="AA16" t="str">
        <f t="shared" si="8"/>
        <v>32</v>
      </c>
      <c r="AB16" t="str">
        <f t="shared" si="9"/>
        <v>322</v>
      </c>
      <c r="AD16" t="s">
        <v>1134</v>
      </c>
      <c r="AE16" t="s">
        <v>1135</v>
      </c>
      <c r="AF16" t="str">
        <f t="shared" si="10"/>
        <v>K818050</v>
      </c>
      <c r="AG16" t="str">
        <f>VLOOKUP(AF16,AKT!$C$4:$E$324,3,FALSE)</f>
        <v>0950</v>
      </c>
    </row>
    <row r="17" spans="1:33">
      <c r="A17" s="90">
        <v>52</v>
      </c>
      <c r="B17" s="85" t="str">
        <f t="shared" si="11"/>
        <v>Ostale pomoći</v>
      </c>
      <c r="C17" s="90">
        <v>3239</v>
      </c>
      <c r="D17" s="85" t="str">
        <f t="shared" si="12"/>
        <v>Ostale usluge</v>
      </c>
      <c r="E17" s="123" t="s">
        <v>3218</v>
      </c>
      <c r="F17" s="85" t="str">
        <f t="shared" si="13"/>
        <v>MODERNE MISLEĆE ŽENE-HRZZ IP-01-2018</v>
      </c>
      <c r="G17" s="85" t="str">
        <f t="shared" si="14"/>
        <v>0942</v>
      </c>
      <c r="H17" s="122">
        <v>461</v>
      </c>
      <c r="I17" s="122">
        <v>0</v>
      </c>
      <c r="J17" s="122">
        <v>0</v>
      </c>
      <c r="K17" s="135"/>
      <c r="L17" s="134"/>
      <c r="M17" s="134"/>
      <c r="N17" s="135"/>
      <c r="O17" s="266"/>
      <c r="P17" s="89"/>
      <c r="R17" t="str">
        <f t="shared" si="15"/>
        <v>323</v>
      </c>
      <c r="S17" t="str">
        <f t="shared" si="16"/>
        <v>32</v>
      </c>
      <c r="T17" t="str">
        <f t="shared" si="7"/>
        <v>94</v>
      </c>
      <c r="U17">
        <v>573</v>
      </c>
      <c r="V17" t="s">
        <v>1221</v>
      </c>
      <c r="X17">
        <v>3223</v>
      </c>
      <c r="Y17" t="s">
        <v>88</v>
      </c>
      <c r="AA17" t="str">
        <f t="shared" si="8"/>
        <v>32</v>
      </c>
      <c r="AB17" t="str">
        <f t="shared" si="9"/>
        <v>322</v>
      </c>
      <c r="AD17" t="s">
        <v>1136</v>
      </c>
      <c r="AE17" t="s">
        <v>1137</v>
      </c>
      <c r="AF17" t="str">
        <f t="shared" si="10"/>
        <v>K818050</v>
      </c>
      <c r="AG17" t="str">
        <f>VLOOKUP(AF17,AKT!$C$4:$E$324,3,FALSE)</f>
        <v>0950</v>
      </c>
    </row>
    <row r="18" spans="1:33">
      <c r="A18" s="90">
        <v>51</v>
      </c>
      <c r="B18" s="85" t="str">
        <f t="shared" si="11"/>
        <v>Pomoći EU</v>
      </c>
      <c r="C18" s="90">
        <v>3111</v>
      </c>
      <c r="D18" s="85" t="str">
        <f t="shared" si="12"/>
        <v>Plaće za redovan rad</v>
      </c>
      <c r="E18" s="123" t="s">
        <v>3214</v>
      </c>
      <c r="F18" s="85" t="str">
        <f t="shared" si="13"/>
        <v>ERASMUS+  DE01-KA203-005728 CONNECTED</v>
      </c>
      <c r="G18" s="85" t="str">
        <f t="shared" si="14"/>
        <v>0942</v>
      </c>
      <c r="H18" s="290">
        <v>3663</v>
      </c>
      <c r="I18" s="122">
        <v>0</v>
      </c>
      <c r="J18" s="122">
        <v>0</v>
      </c>
      <c r="K18" s="135"/>
      <c r="L18" s="134"/>
      <c r="M18" s="134"/>
      <c r="N18" s="135"/>
      <c r="O18" s="266"/>
      <c r="P18" s="89"/>
      <c r="R18" t="str">
        <f t="shared" si="15"/>
        <v>311</v>
      </c>
      <c r="S18" t="str">
        <f t="shared" si="16"/>
        <v>31</v>
      </c>
      <c r="T18" t="str">
        <f t="shared" si="7"/>
        <v>94</v>
      </c>
      <c r="U18">
        <v>575</v>
      </c>
      <c r="V18" t="s">
        <v>1223</v>
      </c>
      <c r="X18">
        <v>3224</v>
      </c>
      <c r="Y18" t="s">
        <v>93</v>
      </c>
      <c r="AA18" t="str">
        <f t="shared" si="8"/>
        <v>32</v>
      </c>
      <c r="AB18" t="str">
        <f t="shared" si="9"/>
        <v>322</v>
      </c>
      <c r="AD18" t="s">
        <v>1138</v>
      </c>
      <c r="AE18" t="s">
        <v>1139</v>
      </c>
      <c r="AF18" t="str">
        <f t="shared" si="10"/>
        <v>K818050</v>
      </c>
      <c r="AG18" t="str">
        <f>VLOOKUP(AF18,AKT!$C$4:$E$324,3,FALSE)</f>
        <v>0950</v>
      </c>
    </row>
    <row r="19" spans="1:33">
      <c r="A19" s="90">
        <v>51</v>
      </c>
      <c r="B19" s="85" t="str">
        <f t="shared" si="11"/>
        <v>Pomoći EU</v>
      </c>
      <c r="C19" s="90">
        <v>3132</v>
      </c>
      <c r="D19" s="85" t="str">
        <f t="shared" si="2"/>
        <v>Doprinosi za obvezno zdravstveno osiguranje</v>
      </c>
      <c r="E19" s="123" t="s">
        <v>3214</v>
      </c>
      <c r="F19" s="85" t="str">
        <f t="shared" si="3"/>
        <v>ERASMUS+  DE01-KA203-005728 CONNECTED</v>
      </c>
      <c r="G19" s="85" t="str">
        <f t="shared" si="4"/>
        <v>0942</v>
      </c>
      <c r="H19" s="290">
        <v>615</v>
      </c>
      <c r="I19" s="122">
        <v>0</v>
      </c>
      <c r="J19" s="122">
        <v>0</v>
      </c>
      <c r="K19" s="135"/>
      <c r="L19" s="134"/>
      <c r="M19" s="134"/>
      <c r="N19" s="135"/>
      <c r="O19" s="266"/>
      <c r="P19" s="89"/>
      <c r="R19" t="str">
        <f t="shared" si="5"/>
        <v>313</v>
      </c>
      <c r="S19" t="str">
        <f t="shared" si="6"/>
        <v>31</v>
      </c>
      <c r="T19" t="str">
        <f t="shared" si="7"/>
        <v>94</v>
      </c>
      <c r="U19">
        <v>576</v>
      </c>
      <c r="V19" s="168" t="s">
        <v>1703</v>
      </c>
      <c r="X19">
        <v>3225</v>
      </c>
      <c r="Y19" t="s">
        <v>101</v>
      </c>
      <c r="AA19" t="str">
        <f t="shared" si="8"/>
        <v>32</v>
      </c>
      <c r="AB19" t="str">
        <f t="shared" si="9"/>
        <v>322</v>
      </c>
      <c r="AD19" t="s">
        <v>1140</v>
      </c>
      <c r="AE19" t="s">
        <v>873</v>
      </c>
      <c r="AF19" t="str">
        <f t="shared" si="10"/>
        <v>K818050</v>
      </c>
      <c r="AG19" t="str">
        <f>VLOOKUP(AF19,AKT!$C$4:$E$324,3,FALSE)</f>
        <v>0950</v>
      </c>
    </row>
    <row r="20" spans="1:33">
      <c r="A20" s="90">
        <v>51</v>
      </c>
      <c r="B20" s="85" t="str">
        <f t="shared" si="1"/>
        <v>Pomoći EU</v>
      </c>
      <c r="C20" s="90">
        <v>3211</v>
      </c>
      <c r="D20" s="85" t="str">
        <f t="shared" si="2"/>
        <v>Službena putovanja</v>
      </c>
      <c r="E20" s="123" t="s">
        <v>3214</v>
      </c>
      <c r="F20" s="85" t="str">
        <f t="shared" si="3"/>
        <v>ERASMUS+  DE01-KA203-005728 CONNECTED</v>
      </c>
      <c r="G20" s="85" t="str">
        <f t="shared" si="4"/>
        <v>0942</v>
      </c>
      <c r="H20" s="290">
        <v>3234</v>
      </c>
      <c r="I20" s="122">
        <v>0</v>
      </c>
      <c r="J20" s="122">
        <v>0</v>
      </c>
      <c r="K20" s="135"/>
      <c r="L20" s="134"/>
      <c r="M20" s="134"/>
      <c r="N20" s="135"/>
      <c r="O20" s="266"/>
      <c r="P20" s="89"/>
      <c r="R20" t="str">
        <f t="shared" si="5"/>
        <v>321</v>
      </c>
      <c r="S20" t="str">
        <f t="shared" si="6"/>
        <v>32</v>
      </c>
      <c r="T20" t="str">
        <f t="shared" si="7"/>
        <v>94</v>
      </c>
      <c r="U20" s="143">
        <v>581</v>
      </c>
      <c r="V20" s="144" t="s">
        <v>1781</v>
      </c>
      <c r="X20">
        <v>3226</v>
      </c>
      <c r="Y20" t="s">
        <v>175</v>
      </c>
      <c r="AA20" t="str">
        <f t="shared" si="8"/>
        <v>32</v>
      </c>
      <c r="AB20" t="str">
        <f t="shared" si="9"/>
        <v>322</v>
      </c>
      <c r="AD20" t="s">
        <v>1141</v>
      </c>
      <c r="AE20" t="s">
        <v>875</v>
      </c>
      <c r="AF20" t="str">
        <f t="shared" si="10"/>
        <v>K818050</v>
      </c>
      <c r="AG20" t="str">
        <f>VLOOKUP(AF20,AKT!$C$4:$E$324,3,FALSE)</f>
        <v>0950</v>
      </c>
    </row>
    <row r="21" spans="1:33">
      <c r="A21" s="90">
        <v>51</v>
      </c>
      <c r="B21" s="85" t="str">
        <f t="shared" si="1"/>
        <v>Pomoći EU</v>
      </c>
      <c r="C21" s="90">
        <v>3241</v>
      </c>
      <c r="D21" s="85" t="str">
        <f t="shared" si="2"/>
        <v>Naknade troškova osobama izvan radnog odnosa</v>
      </c>
      <c r="E21" s="123" t="s">
        <v>3214</v>
      </c>
      <c r="F21" s="85" t="str">
        <f t="shared" si="3"/>
        <v>ERASMUS+  DE01-KA203-005728 CONNECTED</v>
      </c>
      <c r="G21" s="85" t="str">
        <f t="shared" si="4"/>
        <v>0942</v>
      </c>
      <c r="H21" s="290">
        <v>642</v>
      </c>
      <c r="I21" s="122">
        <v>0</v>
      </c>
      <c r="J21" s="122">
        <v>0</v>
      </c>
      <c r="K21" s="135"/>
      <c r="L21" s="134"/>
      <c r="M21" s="134"/>
      <c r="N21" s="135"/>
      <c r="O21" s="266"/>
      <c r="P21" s="89"/>
      <c r="R21" t="str">
        <f t="shared" si="5"/>
        <v>324</v>
      </c>
      <c r="S21" t="str">
        <f t="shared" si="6"/>
        <v>32</v>
      </c>
      <c r="T21" t="str">
        <f t="shared" si="7"/>
        <v>94</v>
      </c>
      <c r="U21">
        <v>61</v>
      </c>
      <c r="V21" t="s">
        <v>115</v>
      </c>
      <c r="X21">
        <v>3227</v>
      </c>
      <c r="Y21" t="s">
        <v>118</v>
      </c>
      <c r="AA21" t="str">
        <f t="shared" si="8"/>
        <v>32</v>
      </c>
      <c r="AB21" t="str">
        <f t="shared" si="9"/>
        <v>322</v>
      </c>
      <c r="AD21" t="s">
        <v>1142</v>
      </c>
      <c r="AE21" t="s">
        <v>877</v>
      </c>
      <c r="AF21" t="str">
        <f t="shared" si="10"/>
        <v>K818050</v>
      </c>
      <c r="AG21" t="str">
        <f>VLOOKUP(AF21,AKT!$C$4:$E$324,3,FALSE)</f>
        <v>0950</v>
      </c>
    </row>
    <row r="22" spans="1:33">
      <c r="A22" s="90">
        <v>51</v>
      </c>
      <c r="B22" s="85" t="str">
        <f t="shared" si="1"/>
        <v>Pomoći EU</v>
      </c>
      <c r="C22" s="90">
        <v>3237</v>
      </c>
      <c r="D22" s="85" t="str">
        <f t="shared" si="2"/>
        <v>Intelektualne i osobne usluge</v>
      </c>
      <c r="E22" s="123" t="s">
        <v>3214</v>
      </c>
      <c r="F22" s="85" t="str">
        <f t="shared" si="3"/>
        <v>ERASMUS+  DE01-KA203-005728 CONNECTED</v>
      </c>
      <c r="G22" s="85" t="str">
        <f t="shared" si="4"/>
        <v>0942</v>
      </c>
      <c r="H22" s="290">
        <v>2435</v>
      </c>
      <c r="I22" s="122">
        <v>0</v>
      </c>
      <c r="J22" s="122">
        <v>0</v>
      </c>
      <c r="K22" s="135"/>
      <c r="L22" s="134"/>
      <c r="M22" s="134"/>
      <c r="N22" s="135"/>
      <c r="O22" s="266"/>
      <c r="P22" s="89"/>
      <c r="R22" t="str">
        <f t="shared" si="5"/>
        <v>323</v>
      </c>
      <c r="S22" t="str">
        <f t="shared" si="6"/>
        <v>32</v>
      </c>
      <c r="T22" t="str">
        <f t="shared" si="7"/>
        <v>94</v>
      </c>
      <c r="U22">
        <v>71</v>
      </c>
      <c r="V22" t="s">
        <v>173</v>
      </c>
      <c r="X22">
        <v>3231</v>
      </c>
      <c r="Y22" t="s">
        <v>102</v>
      </c>
      <c r="AA22" t="str">
        <f t="shared" si="8"/>
        <v>32</v>
      </c>
      <c r="AB22" t="str">
        <f t="shared" si="9"/>
        <v>323</v>
      </c>
      <c r="AD22" t="s">
        <v>1143</v>
      </c>
      <c r="AE22" t="s">
        <v>1144</v>
      </c>
      <c r="AF22" t="str">
        <f t="shared" si="10"/>
        <v>K818050</v>
      </c>
      <c r="AG22" t="str">
        <f>VLOOKUP(AF22,AKT!$C$4:$E$324,3,FALSE)</f>
        <v>0950</v>
      </c>
    </row>
    <row r="23" spans="1:33">
      <c r="A23" s="90">
        <v>51</v>
      </c>
      <c r="B23" s="85" t="str">
        <f t="shared" si="1"/>
        <v>Pomoći EU</v>
      </c>
      <c r="C23" s="90">
        <v>3293</v>
      </c>
      <c r="D23" s="85" t="str">
        <f t="shared" si="2"/>
        <v>Reprezentacija</v>
      </c>
      <c r="E23" s="123" t="s">
        <v>3214</v>
      </c>
      <c r="F23" s="85" t="str">
        <f t="shared" si="3"/>
        <v>ERASMUS+  DE01-KA203-005728 CONNECTED</v>
      </c>
      <c r="G23" s="85" t="str">
        <f t="shared" si="4"/>
        <v>0942</v>
      </c>
      <c r="H23" s="290">
        <v>1128</v>
      </c>
      <c r="I23" s="122">
        <v>0</v>
      </c>
      <c r="J23" s="122">
        <v>0</v>
      </c>
      <c r="K23" s="135"/>
      <c r="L23" s="134"/>
      <c r="M23" s="134"/>
      <c r="N23" s="135"/>
      <c r="O23" s="266"/>
      <c r="P23" s="89"/>
      <c r="R23" t="str">
        <f t="shared" si="5"/>
        <v>329</v>
      </c>
      <c r="S23" t="str">
        <f t="shared" si="6"/>
        <v>32</v>
      </c>
      <c r="T23" t="str">
        <f t="shared" si="7"/>
        <v>94</v>
      </c>
      <c r="U23">
        <v>81</v>
      </c>
      <c r="V23" t="s">
        <v>56</v>
      </c>
      <c r="X23">
        <v>3232</v>
      </c>
      <c r="Y23" t="s">
        <v>89</v>
      </c>
      <c r="AA23" t="str">
        <f t="shared" si="8"/>
        <v>32</v>
      </c>
      <c r="AB23" t="str">
        <f t="shared" si="9"/>
        <v>323</v>
      </c>
      <c r="AD23" t="s">
        <v>1145</v>
      </c>
      <c r="AE23" t="s">
        <v>1146</v>
      </c>
      <c r="AF23" t="str">
        <f t="shared" si="10"/>
        <v>K818050</v>
      </c>
      <c r="AG23" t="str">
        <f>VLOOKUP(AF23,AKT!$C$4:$E$324,3,FALSE)</f>
        <v>0950</v>
      </c>
    </row>
    <row r="24" spans="1:33">
      <c r="A24" s="90">
        <v>51</v>
      </c>
      <c r="B24" s="85" t="str">
        <f t="shared" si="1"/>
        <v>Pomoći EU</v>
      </c>
      <c r="C24" s="90">
        <v>3231</v>
      </c>
      <c r="D24" s="85" t="str">
        <f t="shared" si="2"/>
        <v>Usluge telefona, pošte i prijevoza</v>
      </c>
      <c r="E24" s="123" t="s">
        <v>3214</v>
      </c>
      <c r="F24" s="85" t="str">
        <f t="shared" si="3"/>
        <v>ERASMUS+  DE01-KA203-005728 CONNECTED</v>
      </c>
      <c r="G24" s="85" t="str">
        <f t="shared" si="4"/>
        <v>0942</v>
      </c>
      <c r="H24" s="290">
        <v>1898</v>
      </c>
      <c r="I24" s="122">
        <v>0</v>
      </c>
      <c r="J24" s="122">
        <v>0</v>
      </c>
      <c r="K24" s="135"/>
      <c r="L24" s="134"/>
      <c r="M24" s="134"/>
      <c r="N24" s="135"/>
      <c r="O24" s="266"/>
      <c r="P24" s="89"/>
      <c r="R24" t="str">
        <f t="shared" si="5"/>
        <v>323</v>
      </c>
      <c r="S24" t="str">
        <f t="shared" si="6"/>
        <v>32</v>
      </c>
      <c r="T24" t="str">
        <f t="shared" si="7"/>
        <v>94</v>
      </c>
      <c r="U24" s="170">
        <v>83</v>
      </c>
      <c r="V24" s="170" t="s">
        <v>1212</v>
      </c>
      <c r="X24">
        <v>3233</v>
      </c>
      <c r="Y24" t="s">
        <v>77</v>
      </c>
      <c r="AA24" t="str">
        <f t="shared" si="8"/>
        <v>32</v>
      </c>
      <c r="AB24" t="str">
        <f t="shared" si="9"/>
        <v>323</v>
      </c>
      <c r="AD24" t="s">
        <v>1147</v>
      </c>
      <c r="AE24" t="s">
        <v>1148</v>
      </c>
      <c r="AF24" t="str">
        <f t="shared" si="10"/>
        <v>K818050</v>
      </c>
      <c r="AG24" t="str">
        <f>VLOOKUP(AF24,AKT!$C$4:$E$324,3,FALSE)</f>
        <v>0950</v>
      </c>
    </row>
    <row r="25" spans="1:33">
      <c r="A25" s="90">
        <v>51</v>
      </c>
      <c r="B25" s="85" t="str">
        <f t="shared" si="1"/>
        <v>Pomoći EU</v>
      </c>
      <c r="C25" s="90">
        <v>3111</v>
      </c>
      <c r="D25" s="85" t="str">
        <f t="shared" si="2"/>
        <v>Plaće za redovan rad</v>
      </c>
      <c r="E25" s="123" t="s">
        <v>2519</v>
      </c>
      <c r="F25" s="85" t="str">
        <f t="shared" si="3"/>
        <v>ERASMUS+ CCC4ECEC - Kompetencija za obrazovanje i njegu u ranom djetinjstvu usmjerena na dijete</v>
      </c>
      <c r="G25" s="85" t="str">
        <f t="shared" si="4"/>
        <v>0942</v>
      </c>
      <c r="H25" s="290">
        <v>823</v>
      </c>
      <c r="I25" s="122">
        <v>0</v>
      </c>
      <c r="J25" s="122">
        <v>0</v>
      </c>
      <c r="K25" s="135"/>
      <c r="L25" s="134"/>
      <c r="M25" s="134"/>
      <c r="N25" s="135"/>
      <c r="O25" s="266"/>
      <c r="P25" s="89"/>
      <c r="R25" t="str">
        <f t="shared" si="5"/>
        <v>311</v>
      </c>
      <c r="S25" t="str">
        <f t="shared" si="6"/>
        <v>31</v>
      </c>
      <c r="T25" t="str">
        <f t="shared" si="7"/>
        <v>94</v>
      </c>
      <c r="X25">
        <v>3234</v>
      </c>
      <c r="Y25" t="s">
        <v>90</v>
      </c>
      <c r="AA25" t="str">
        <f t="shared" si="8"/>
        <v>32</v>
      </c>
      <c r="AB25" t="str">
        <f t="shared" si="9"/>
        <v>323</v>
      </c>
      <c r="AD25" t="s">
        <v>1149</v>
      </c>
      <c r="AE25" t="s">
        <v>1150</v>
      </c>
      <c r="AF25" t="str">
        <f t="shared" si="10"/>
        <v>K818050</v>
      </c>
      <c r="AG25" t="str">
        <f>VLOOKUP(AF25,AKT!$C$4:$E$324,3,FALSE)</f>
        <v>0950</v>
      </c>
    </row>
    <row r="26" spans="1:33">
      <c r="A26" s="90">
        <v>51</v>
      </c>
      <c r="B26" s="85" t="str">
        <f t="shared" si="1"/>
        <v>Pomoći EU</v>
      </c>
      <c r="C26" s="90">
        <v>3132</v>
      </c>
      <c r="D26" s="85" t="str">
        <f t="shared" si="2"/>
        <v>Doprinosi za obvezno zdravstveno osiguranje</v>
      </c>
      <c r="E26" s="123" t="s">
        <v>2519</v>
      </c>
      <c r="F26" s="85" t="str">
        <f t="shared" si="3"/>
        <v>ERASMUS+ CCC4ECEC - Kompetencija za obrazovanje i njegu u ranom djetinjstvu usmjerena na dijete</v>
      </c>
      <c r="G26" s="85" t="str">
        <f t="shared" si="4"/>
        <v>0942</v>
      </c>
      <c r="H26" s="290">
        <v>138</v>
      </c>
      <c r="I26" s="122">
        <v>0</v>
      </c>
      <c r="J26" s="122">
        <v>0</v>
      </c>
      <c r="K26" s="135"/>
      <c r="L26" s="134"/>
      <c r="M26" s="134"/>
      <c r="N26" s="135"/>
      <c r="O26" s="266"/>
      <c r="P26" s="89"/>
      <c r="R26" t="str">
        <f t="shared" si="5"/>
        <v>313</v>
      </c>
      <c r="S26" t="str">
        <f t="shared" si="6"/>
        <v>31</v>
      </c>
      <c r="T26" t="str">
        <f t="shared" si="7"/>
        <v>94</v>
      </c>
      <c r="X26">
        <v>3235</v>
      </c>
      <c r="Y26" t="s">
        <v>110</v>
      </c>
      <c r="AA26" t="str">
        <f t="shared" si="8"/>
        <v>32</v>
      </c>
      <c r="AB26" t="str">
        <f t="shared" si="9"/>
        <v>323</v>
      </c>
      <c r="AD26" t="s">
        <v>1151</v>
      </c>
      <c r="AE26" t="s">
        <v>1152</v>
      </c>
      <c r="AF26" t="str">
        <f t="shared" si="10"/>
        <v>K818050</v>
      </c>
      <c r="AG26" t="str">
        <f>VLOOKUP(AF26,AKT!$C$4:$E$324,3,FALSE)</f>
        <v>0950</v>
      </c>
    </row>
    <row r="27" spans="1:33">
      <c r="A27" s="90">
        <v>51</v>
      </c>
      <c r="B27" s="85" t="str">
        <f t="shared" si="1"/>
        <v>Pomoći EU</v>
      </c>
      <c r="C27" s="90">
        <v>3211</v>
      </c>
      <c r="D27" s="85" t="str">
        <f t="shared" si="2"/>
        <v>Službena putovanja</v>
      </c>
      <c r="E27" s="123" t="s">
        <v>2519</v>
      </c>
      <c r="F27" s="85" t="str">
        <f t="shared" si="3"/>
        <v>ERASMUS+ CCC4ECEC - Kompetencija za obrazovanje i njegu u ranom djetinjstvu usmjerena na dijete</v>
      </c>
      <c r="G27" s="85" t="str">
        <f t="shared" si="4"/>
        <v>0942</v>
      </c>
      <c r="H27" s="290">
        <v>579</v>
      </c>
      <c r="I27" s="122">
        <v>0</v>
      </c>
      <c r="J27" s="122">
        <v>0</v>
      </c>
      <c r="K27" s="135"/>
      <c r="L27" s="134"/>
      <c r="M27" s="134"/>
      <c r="N27" s="135"/>
      <c r="O27" s="266"/>
      <c r="P27" s="89"/>
      <c r="R27" t="str">
        <f t="shared" si="5"/>
        <v>321</v>
      </c>
      <c r="S27" t="str">
        <f t="shared" si="6"/>
        <v>32</v>
      </c>
      <c r="T27" t="str">
        <f t="shared" si="7"/>
        <v>94</v>
      </c>
      <c r="X27">
        <v>3236</v>
      </c>
      <c r="Y27" t="s">
        <v>53</v>
      </c>
      <c r="AA27" t="str">
        <f t="shared" si="8"/>
        <v>32</v>
      </c>
      <c r="AB27" t="str">
        <f t="shared" si="9"/>
        <v>323</v>
      </c>
      <c r="AD27" t="s">
        <v>1153</v>
      </c>
      <c r="AE27" t="s">
        <v>1154</v>
      </c>
      <c r="AF27" t="str">
        <f t="shared" si="10"/>
        <v>K818050</v>
      </c>
      <c r="AG27" t="str">
        <f>VLOOKUP(AF27,AKT!$C$4:$E$324,3,FALSE)</f>
        <v>0950</v>
      </c>
    </row>
    <row r="28" spans="1:33">
      <c r="A28" s="90">
        <v>51</v>
      </c>
      <c r="B28" s="85" t="str">
        <f t="shared" si="1"/>
        <v>Pomoći EU</v>
      </c>
      <c r="C28" s="90">
        <v>3233</v>
      </c>
      <c r="D28" s="85" t="str">
        <f t="shared" si="2"/>
        <v>Usluge promidžbe i informiranja</v>
      </c>
      <c r="E28" s="123" t="s">
        <v>2519</v>
      </c>
      <c r="F28" s="85" t="str">
        <f t="shared" si="3"/>
        <v>ERASMUS+ CCC4ECEC - Kompetencija za obrazovanje i njegu u ranom djetinjstvu usmjerena na dijete</v>
      </c>
      <c r="G28" s="85" t="str">
        <f t="shared" si="4"/>
        <v>0942</v>
      </c>
      <c r="H28" s="290">
        <v>427</v>
      </c>
      <c r="I28" s="122">
        <v>0</v>
      </c>
      <c r="J28" s="122">
        <v>0</v>
      </c>
      <c r="K28" s="135"/>
      <c r="L28" s="134"/>
      <c r="M28" s="134"/>
      <c r="N28" s="135"/>
      <c r="O28" s="266"/>
      <c r="P28" s="89"/>
      <c r="R28" t="str">
        <f t="shared" si="5"/>
        <v>323</v>
      </c>
      <c r="S28" t="str">
        <f t="shared" si="6"/>
        <v>32</v>
      </c>
      <c r="T28" t="str">
        <f t="shared" si="7"/>
        <v>94</v>
      </c>
      <c r="X28">
        <v>3237</v>
      </c>
      <c r="Y28" t="s">
        <v>66</v>
      </c>
      <c r="AA28" t="str">
        <f t="shared" si="8"/>
        <v>32</v>
      </c>
      <c r="AB28" t="str">
        <f t="shared" si="9"/>
        <v>323</v>
      </c>
      <c r="AD28" t="s">
        <v>1155</v>
      </c>
      <c r="AE28" t="s">
        <v>1156</v>
      </c>
      <c r="AF28" t="str">
        <f t="shared" si="10"/>
        <v>K818050</v>
      </c>
      <c r="AG28" t="str">
        <f>VLOOKUP(AF28,AKT!$C$4:$E$324,3,FALSE)</f>
        <v>0950</v>
      </c>
    </row>
    <row r="29" spans="1:33">
      <c r="A29" s="90">
        <v>51</v>
      </c>
      <c r="B29" s="85" t="str">
        <f t="shared" si="1"/>
        <v>Pomoći EU</v>
      </c>
      <c r="C29" s="90">
        <v>3237</v>
      </c>
      <c r="D29" s="85" t="str">
        <f t="shared" si="2"/>
        <v>Intelektualne i osobne usluge</v>
      </c>
      <c r="E29" s="123" t="s">
        <v>2519</v>
      </c>
      <c r="F29" s="85" t="str">
        <f t="shared" si="3"/>
        <v>ERASMUS+ CCC4ECEC - Kompetencija za obrazovanje i njegu u ranom djetinjstvu usmjerena na dijete</v>
      </c>
      <c r="G29" s="85" t="str">
        <f t="shared" si="4"/>
        <v>0942</v>
      </c>
      <c r="H29" s="290">
        <v>743</v>
      </c>
      <c r="I29" s="122">
        <v>0</v>
      </c>
      <c r="J29" s="122">
        <v>0</v>
      </c>
      <c r="K29" s="135"/>
      <c r="L29" s="134"/>
      <c r="M29" s="134"/>
      <c r="N29" s="135"/>
      <c r="O29" s="266"/>
      <c r="P29" s="89"/>
      <c r="R29" t="str">
        <f t="shared" si="5"/>
        <v>323</v>
      </c>
      <c r="S29" t="str">
        <f t="shared" si="6"/>
        <v>32</v>
      </c>
      <c r="T29" t="str">
        <f t="shared" si="7"/>
        <v>94</v>
      </c>
      <c r="X29">
        <v>3238</v>
      </c>
      <c r="Y29" t="s">
        <v>103</v>
      </c>
      <c r="AA29" t="str">
        <f t="shared" si="8"/>
        <v>32</v>
      </c>
      <c r="AB29" t="str">
        <f t="shared" si="9"/>
        <v>323</v>
      </c>
      <c r="AD29" t="s">
        <v>1157</v>
      </c>
      <c r="AE29" t="s">
        <v>1158</v>
      </c>
      <c r="AF29" t="str">
        <f t="shared" si="10"/>
        <v>K818050</v>
      </c>
      <c r="AG29" t="str">
        <f>VLOOKUP(AF29,AKT!$C$4:$E$324,3,FALSE)</f>
        <v>0950</v>
      </c>
    </row>
    <row r="30" spans="1:33">
      <c r="A30" s="90">
        <v>51</v>
      </c>
      <c r="B30" s="85" t="str">
        <f t="shared" si="1"/>
        <v>Pomoći EU</v>
      </c>
      <c r="C30" s="90">
        <v>3293</v>
      </c>
      <c r="D30" s="85" t="str">
        <f t="shared" si="2"/>
        <v>Reprezentacija</v>
      </c>
      <c r="E30" s="123" t="s">
        <v>2519</v>
      </c>
      <c r="F30" s="85" t="str">
        <f t="shared" si="3"/>
        <v>ERASMUS+ CCC4ECEC - Kompetencija za obrazovanje i njegu u ranom djetinjstvu usmjerena na dijete</v>
      </c>
      <c r="G30" s="85" t="str">
        <f t="shared" si="4"/>
        <v>0942</v>
      </c>
      <c r="H30" s="290">
        <v>823</v>
      </c>
      <c r="I30" s="122">
        <v>0</v>
      </c>
      <c r="J30" s="122">
        <v>0</v>
      </c>
      <c r="K30" s="135"/>
      <c r="L30" s="134"/>
      <c r="M30" s="134"/>
      <c r="N30" s="135"/>
      <c r="O30" s="266"/>
      <c r="P30" s="89"/>
      <c r="R30" t="str">
        <f t="shared" si="5"/>
        <v>329</v>
      </c>
      <c r="S30" t="str">
        <f t="shared" si="6"/>
        <v>32</v>
      </c>
      <c r="T30" t="str">
        <f t="shared" si="7"/>
        <v>94</v>
      </c>
      <c r="X30">
        <v>3239</v>
      </c>
      <c r="Y30" t="s">
        <v>83</v>
      </c>
      <c r="AA30" t="str">
        <f t="shared" si="8"/>
        <v>32</v>
      </c>
      <c r="AB30" t="str">
        <f t="shared" si="9"/>
        <v>323</v>
      </c>
      <c r="AD30" t="s">
        <v>1159</v>
      </c>
      <c r="AE30" t="s">
        <v>1160</v>
      </c>
      <c r="AF30" t="str">
        <f t="shared" si="10"/>
        <v>K818050</v>
      </c>
      <c r="AG30" t="str">
        <f>VLOOKUP(AF30,AKT!$C$4:$E$324,3,FALSE)</f>
        <v>0950</v>
      </c>
    </row>
    <row r="31" spans="1:33">
      <c r="A31" s="90">
        <v>51</v>
      </c>
      <c r="B31" s="85" t="str">
        <f t="shared" si="1"/>
        <v>Pomoći EU</v>
      </c>
      <c r="C31" s="90">
        <v>3213</v>
      </c>
      <c r="D31" s="85" t="str">
        <f t="shared" si="2"/>
        <v>Stručno usavršavanje zaposlenika</v>
      </c>
      <c r="E31" s="123" t="s">
        <v>2519</v>
      </c>
      <c r="F31" s="85" t="str">
        <f t="shared" si="3"/>
        <v>ERASMUS+ CCC4ECEC - Kompetencija za obrazovanje i njegu u ranom djetinjstvu usmjerena na dijete</v>
      </c>
      <c r="G31" s="85" t="str">
        <f t="shared" si="4"/>
        <v>0942</v>
      </c>
      <c r="H31" s="290">
        <v>491</v>
      </c>
      <c r="I31" s="122">
        <v>0</v>
      </c>
      <c r="J31" s="122">
        <v>0</v>
      </c>
      <c r="K31" s="135"/>
      <c r="L31" s="134"/>
      <c r="M31" s="134"/>
      <c r="N31" s="135"/>
      <c r="O31" s="266"/>
      <c r="P31" s="89"/>
      <c r="R31" t="str">
        <f t="shared" si="5"/>
        <v>321</v>
      </c>
      <c r="S31" t="str">
        <f t="shared" si="6"/>
        <v>32</v>
      </c>
      <c r="T31" t="str">
        <f t="shared" si="7"/>
        <v>94</v>
      </c>
      <c r="X31">
        <v>3241</v>
      </c>
      <c r="Y31" t="s">
        <v>80</v>
      </c>
      <c r="AA31" t="str">
        <f t="shared" si="8"/>
        <v>32</v>
      </c>
      <c r="AB31" t="str">
        <f t="shared" si="9"/>
        <v>324</v>
      </c>
      <c r="AD31" t="s">
        <v>1161</v>
      </c>
      <c r="AE31" t="s">
        <v>1162</v>
      </c>
      <c r="AF31" t="str">
        <f t="shared" si="10"/>
        <v>K818050</v>
      </c>
      <c r="AG31" t="str">
        <f>VLOOKUP(AF31,AKT!$C$4:$E$324,3,FALSE)</f>
        <v>0950</v>
      </c>
    </row>
    <row r="32" spans="1:33">
      <c r="A32" s="90">
        <v>51</v>
      </c>
      <c r="B32" s="85" t="str">
        <f t="shared" si="1"/>
        <v>Pomoći EU</v>
      </c>
      <c r="C32" s="90">
        <v>3214</v>
      </c>
      <c r="D32" s="85" t="str">
        <f t="shared" si="2"/>
        <v>Ostale naknade troškova zaposlenima</v>
      </c>
      <c r="E32" s="123" t="s">
        <v>2519</v>
      </c>
      <c r="F32" s="85" t="str">
        <f t="shared" si="3"/>
        <v>ERASMUS+ CCC4ECEC - Kompetencija za obrazovanje i njegu u ranom djetinjstvu usmjerena na dijete</v>
      </c>
      <c r="G32" s="85" t="str">
        <f t="shared" si="4"/>
        <v>0942</v>
      </c>
      <c r="H32" s="290">
        <v>743</v>
      </c>
      <c r="I32" s="122">
        <v>0</v>
      </c>
      <c r="J32" s="122">
        <v>0</v>
      </c>
      <c r="K32" s="135"/>
      <c r="L32" s="134"/>
      <c r="M32" s="134"/>
      <c r="N32" s="135"/>
      <c r="O32" s="266"/>
      <c r="P32" s="89"/>
      <c r="R32" t="str">
        <f t="shared" si="5"/>
        <v>321</v>
      </c>
      <c r="S32" t="str">
        <f t="shared" si="6"/>
        <v>32</v>
      </c>
      <c r="T32" t="str">
        <f t="shared" si="7"/>
        <v>94</v>
      </c>
      <c r="X32">
        <v>3291</v>
      </c>
      <c r="Y32" t="s">
        <v>81</v>
      </c>
      <c r="AA32" t="str">
        <f t="shared" si="8"/>
        <v>32</v>
      </c>
      <c r="AB32" t="str">
        <f t="shared" si="9"/>
        <v>329</v>
      </c>
      <c r="AD32" t="s">
        <v>1163</v>
      </c>
      <c r="AE32" t="s">
        <v>1164</v>
      </c>
      <c r="AF32" t="str">
        <f t="shared" si="10"/>
        <v>K818050</v>
      </c>
      <c r="AG32" t="str">
        <f>VLOOKUP(AF32,AKT!$C$4:$E$324,3,FALSE)</f>
        <v>0950</v>
      </c>
    </row>
    <row r="33" spans="1:33">
      <c r="A33" s="90">
        <v>51</v>
      </c>
      <c r="B33" s="85" t="str">
        <f t="shared" si="1"/>
        <v>Pomoći EU</v>
      </c>
      <c r="C33" s="90">
        <v>3231</v>
      </c>
      <c r="D33" s="85" t="str">
        <f t="shared" si="2"/>
        <v>Usluge telefona, pošte i prijevoza</v>
      </c>
      <c r="E33" s="123" t="s">
        <v>2519</v>
      </c>
      <c r="F33" s="85" t="str">
        <f t="shared" si="3"/>
        <v>ERASMUS+ CCC4ECEC - Kompetencija za obrazovanje i njegu u ranom djetinjstvu usmjerena na dijete</v>
      </c>
      <c r="G33" s="85" t="str">
        <f t="shared" si="4"/>
        <v>0942</v>
      </c>
      <c r="H33" s="290">
        <v>159</v>
      </c>
      <c r="I33" s="122">
        <v>0</v>
      </c>
      <c r="J33" s="122">
        <v>0</v>
      </c>
      <c r="K33" s="135"/>
      <c r="L33" s="134"/>
      <c r="M33" s="134"/>
      <c r="N33" s="135"/>
      <c r="O33" s="266"/>
      <c r="P33" s="89"/>
      <c r="R33" t="str">
        <f t="shared" si="5"/>
        <v>323</v>
      </c>
      <c r="S33" t="str">
        <f t="shared" si="6"/>
        <v>32</v>
      </c>
      <c r="T33" t="str">
        <f t="shared" si="7"/>
        <v>94</v>
      </c>
      <c r="X33">
        <v>3292</v>
      </c>
      <c r="Y33" t="s">
        <v>74</v>
      </c>
      <c r="AA33" t="str">
        <f t="shared" si="8"/>
        <v>32</v>
      </c>
      <c r="AB33" t="str">
        <f t="shared" si="9"/>
        <v>329</v>
      </c>
      <c r="AD33" t="s">
        <v>1165</v>
      </c>
      <c r="AE33" t="s">
        <v>1166</v>
      </c>
      <c r="AF33" t="str">
        <f t="shared" si="10"/>
        <v>K818050</v>
      </c>
      <c r="AG33" t="str">
        <f>VLOOKUP(AF33,AKT!$C$4:$E$324,3,FALSE)</f>
        <v>0950</v>
      </c>
    </row>
    <row r="34" spans="1:33">
      <c r="A34" s="90">
        <v>51</v>
      </c>
      <c r="B34" s="85" t="str">
        <f t="shared" si="1"/>
        <v>Pomoći EU</v>
      </c>
      <c r="C34" s="90">
        <v>3111</v>
      </c>
      <c r="D34" s="85" t="str">
        <f t="shared" si="2"/>
        <v>Plaće za redovan rad</v>
      </c>
      <c r="E34" s="123" t="s">
        <v>699</v>
      </c>
      <c r="F34" s="85" t="str">
        <f t="shared" si="3"/>
        <v>NOVI PODPROJEKT</v>
      </c>
      <c r="G34" s="85" t="str">
        <f t="shared" si="4"/>
        <v>NOVI PODPROJEKT</v>
      </c>
      <c r="H34" s="291">
        <v>2197</v>
      </c>
      <c r="I34" s="291">
        <v>1173</v>
      </c>
      <c r="J34" s="291">
        <v>0</v>
      </c>
      <c r="K34" s="135" t="s">
        <v>5281</v>
      </c>
      <c r="L34" s="134" t="s">
        <v>5285</v>
      </c>
      <c r="M34" s="134" t="s">
        <v>5286</v>
      </c>
      <c r="N34" s="135" t="s">
        <v>5292</v>
      </c>
      <c r="O34" s="266"/>
      <c r="P34" s="89"/>
      <c r="R34" t="str">
        <f t="shared" si="5"/>
        <v>311</v>
      </c>
      <c r="S34" t="str">
        <f t="shared" si="6"/>
        <v>31</v>
      </c>
      <c r="T34" t="str">
        <f t="shared" si="7"/>
        <v>OV</v>
      </c>
      <c r="X34">
        <v>3293</v>
      </c>
      <c r="Y34" t="s">
        <v>84</v>
      </c>
      <c r="AA34" t="str">
        <f t="shared" si="8"/>
        <v>32</v>
      </c>
      <c r="AB34" t="str">
        <f t="shared" si="9"/>
        <v>329</v>
      </c>
      <c r="AD34" t="s">
        <v>1167</v>
      </c>
      <c r="AE34" t="s">
        <v>1168</v>
      </c>
      <c r="AF34" t="str">
        <f t="shared" si="10"/>
        <v>K818050</v>
      </c>
      <c r="AG34" t="str">
        <f>VLOOKUP(AF34,AKT!$C$4:$E$324,3,FALSE)</f>
        <v>0950</v>
      </c>
    </row>
    <row r="35" spans="1:33">
      <c r="A35" s="90">
        <v>51</v>
      </c>
      <c r="B35" s="85" t="str">
        <f t="shared" si="1"/>
        <v>Pomoći EU</v>
      </c>
      <c r="C35" s="90">
        <v>3132</v>
      </c>
      <c r="D35" s="85" t="str">
        <f t="shared" si="2"/>
        <v>Doprinosi za obvezno zdravstveno osiguranje</v>
      </c>
      <c r="E35" s="123" t="s">
        <v>699</v>
      </c>
      <c r="F35" s="85" t="str">
        <f t="shared" si="3"/>
        <v>NOVI PODPROJEKT</v>
      </c>
      <c r="G35" s="85" t="str">
        <f t="shared" si="4"/>
        <v>NOVI PODPROJEKT</v>
      </c>
      <c r="H35" s="291">
        <v>369</v>
      </c>
      <c r="I35" s="291">
        <v>202</v>
      </c>
      <c r="J35" s="291">
        <v>0</v>
      </c>
      <c r="K35" s="135" t="s">
        <v>5281</v>
      </c>
      <c r="L35" s="134" t="s">
        <v>5285</v>
      </c>
      <c r="M35" s="134" t="s">
        <v>5286</v>
      </c>
      <c r="N35" s="135" t="s">
        <v>5292</v>
      </c>
      <c r="O35" s="266"/>
      <c r="P35" s="89"/>
      <c r="R35" t="str">
        <f t="shared" si="5"/>
        <v>313</v>
      </c>
      <c r="S35" t="str">
        <f t="shared" si="6"/>
        <v>31</v>
      </c>
      <c r="T35" t="str">
        <f t="shared" si="7"/>
        <v>OV</v>
      </c>
      <c r="X35">
        <v>3293</v>
      </c>
      <c r="Y35" t="s">
        <v>131</v>
      </c>
      <c r="AA35" t="str">
        <f t="shared" si="8"/>
        <v>32</v>
      </c>
      <c r="AB35" t="str">
        <f t="shared" si="9"/>
        <v>329</v>
      </c>
      <c r="AD35" t="s">
        <v>1249</v>
      </c>
      <c r="AE35" t="s">
        <v>1189</v>
      </c>
      <c r="AF35" t="str">
        <f t="shared" si="10"/>
        <v>K818050</v>
      </c>
      <c r="AG35" t="str">
        <f>VLOOKUP(AF35,AKT!$C$4:$E$324,3,FALSE)</f>
        <v>0950</v>
      </c>
    </row>
    <row r="36" spans="1:33">
      <c r="A36" s="90">
        <v>51</v>
      </c>
      <c r="B36" s="85" t="str">
        <f t="shared" si="1"/>
        <v>Pomoći EU</v>
      </c>
      <c r="C36" s="90">
        <v>3211</v>
      </c>
      <c r="D36" s="85" t="str">
        <f t="shared" si="2"/>
        <v>Službena putovanja</v>
      </c>
      <c r="E36" s="123" t="s">
        <v>699</v>
      </c>
      <c r="F36" s="85" t="str">
        <f t="shared" si="3"/>
        <v>NOVI PODPROJEKT</v>
      </c>
      <c r="G36" s="85" t="str">
        <f t="shared" si="4"/>
        <v>NOVI PODPROJEKT</v>
      </c>
      <c r="H36" s="291">
        <v>2236</v>
      </c>
      <c r="I36" s="291">
        <v>1132</v>
      </c>
      <c r="J36" s="291">
        <v>0</v>
      </c>
      <c r="K36" s="135" t="s">
        <v>5281</v>
      </c>
      <c r="L36" s="134" t="s">
        <v>5285</v>
      </c>
      <c r="M36" s="134" t="s">
        <v>5286</v>
      </c>
      <c r="N36" s="135" t="s">
        <v>5292</v>
      </c>
      <c r="O36" s="266"/>
      <c r="P36" s="89"/>
      <c r="R36" t="str">
        <f t="shared" si="5"/>
        <v>321</v>
      </c>
      <c r="S36" t="str">
        <f t="shared" si="6"/>
        <v>32</v>
      </c>
      <c r="T36" t="str">
        <f t="shared" si="7"/>
        <v>OV</v>
      </c>
      <c r="X36">
        <v>3294</v>
      </c>
      <c r="Y36" t="s">
        <v>85</v>
      </c>
      <c r="AA36" t="str">
        <f t="shared" si="8"/>
        <v>32</v>
      </c>
      <c r="AB36" t="str">
        <f t="shared" si="9"/>
        <v>329</v>
      </c>
      <c r="AD36" t="s">
        <v>2017</v>
      </c>
      <c r="AE36" t="s">
        <v>2018</v>
      </c>
      <c r="AF36" t="str">
        <f t="shared" si="10"/>
        <v>K818050</v>
      </c>
      <c r="AG36" t="str">
        <f>VLOOKUP(AF36,AKT!$C$4:$E$324,3,FALSE)</f>
        <v>0950</v>
      </c>
    </row>
    <row r="37" spans="1:33">
      <c r="A37" s="90">
        <v>51</v>
      </c>
      <c r="B37" s="85" t="str">
        <f t="shared" si="1"/>
        <v>Pomoći EU</v>
      </c>
      <c r="C37" s="90">
        <v>3213</v>
      </c>
      <c r="D37" s="85" t="str">
        <f t="shared" si="2"/>
        <v>Stručno usavršavanje zaposlenika</v>
      </c>
      <c r="E37" s="123" t="s">
        <v>699</v>
      </c>
      <c r="F37" s="85" t="str">
        <f t="shared" si="3"/>
        <v>NOVI PODPROJEKT</v>
      </c>
      <c r="G37" s="85" t="str">
        <f t="shared" si="4"/>
        <v>NOVI PODPROJEKT</v>
      </c>
      <c r="H37" s="291">
        <v>2343</v>
      </c>
      <c r="I37" s="291">
        <v>1185</v>
      </c>
      <c r="J37" s="291">
        <v>0</v>
      </c>
      <c r="K37" s="135" t="s">
        <v>5281</v>
      </c>
      <c r="L37" s="134" t="s">
        <v>5285</v>
      </c>
      <c r="M37" s="134" t="s">
        <v>5286</v>
      </c>
      <c r="N37" s="135" t="s">
        <v>5292</v>
      </c>
      <c r="O37" s="266"/>
      <c r="P37" s="89"/>
      <c r="R37" t="str">
        <f t="shared" si="5"/>
        <v>321</v>
      </c>
      <c r="S37" t="str">
        <f t="shared" si="6"/>
        <v>32</v>
      </c>
      <c r="T37" t="str">
        <f t="shared" si="7"/>
        <v>OV</v>
      </c>
      <c r="X37">
        <v>3295</v>
      </c>
      <c r="Y37" t="s">
        <v>54</v>
      </c>
      <c r="AA37" t="str">
        <f t="shared" si="8"/>
        <v>32</v>
      </c>
      <c r="AB37" t="str">
        <f t="shared" si="9"/>
        <v>329</v>
      </c>
      <c r="AD37" t="s">
        <v>700</v>
      </c>
      <c r="AE37" t="s">
        <v>701</v>
      </c>
      <c r="AF37" t="str">
        <f t="shared" si="10"/>
        <v>A679071</v>
      </c>
      <c r="AG37" t="str">
        <f>VLOOKUP(AF37,AKT!$C$4:$E$324,3,FALSE)</f>
        <v>0942</v>
      </c>
    </row>
    <row r="38" spans="1:33">
      <c r="A38" s="90">
        <v>51</v>
      </c>
      <c r="B38" s="85" t="str">
        <f t="shared" si="1"/>
        <v>Pomoći EU</v>
      </c>
      <c r="C38" s="90">
        <v>3221</v>
      </c>
      <c r="D38" s="85" t="str">
        <f t="shared" si="2"/>
        <v>Uredski materijal i ostali materijalni rashodi</v>
      </c>
      <c r="E38" s="123" t="s">
        <v>699</v>
      </c>
      <c r="F38" s="85" t="str">
        <f t="shared" si="3"/>
        <v>NOVI PODPROJEKT</v>
      </c>
      <c r="G38" s="85" t="str">
        <f t="shared" si="4"/>
        <v>NOVI PODPROJEKT</v>
      </c>
      <c r="H38" s="291">
        <v>184</v>
      </c>
      <c r="I38" s="291">
        <v>126</v>
      </c>
      <c r="J38" s="291">
        <v>0</v>
      </c>
      <c r="K38" s="135" t="s">
        <v>5281</v>
      </c>
      <c r="L38" s="134" t="s">
        <v>5285</v>
      </c>
      <c r="M38" s="134" t="s">
        <v>5286</v>
      </c>
      <c r="N38" s="135" t="s">
        <v>5292</v>
      </c>
      <c r="O38" s="266"/>
      <c r="P38" s="89"/>
      <c r="R38" t="str">
        <f t="shared" si="5"/>
        <v>322</v>
      </c>
      <c r="S38" t="str">
        <f t="shared" si="6"/>
        <v>32</v>
      </c>
      <c r="T38" t="str">
        <f t="shared" si="7"/>
        <v>OV</v>
      </c>
      <c r="X38">
        <v>3296</v>
      </c>
      <c r="Y38" t="s">
        <v>148</v>
      </c>
      <c r="AA38" t="str">
        <f t="shared" si="8"/>
        <v>32</v>
      </c>
      <c r="AB38" t="str">
        <f t="shared" si="9"/>
        <v>329</v>
      </c>
      <c r="AD38" t="s">
        <v>702</v>
      </c>
      <c r="AE38" t="s">
        <v>703</v>
      </c>
      <c r="AF38" t="str">
        <f t="shared" si="10"/>
        <v>A679071</v>
      </c>
      <c r="AG38" t="str">
        <f>VLOOKUP(AF38,AKT!$C$4:$E$324,3,FALSE)</f>
        <v>0942</v>
      </c>
    </row>
    <row r="39" spans="1:33">
      <c r="A39" s="90">
        <v>51</v>
      </c>
      <c r="B39" s="85" t="str">
        <f t="shared" si="1"/>
        <v>Pomoći EU</v>
      </c>
      <c r="C39" s="90">
        <v>3231</v>
      </c>
      <c r="D39" s="85" t="str">
        <f t="shared" si="2"/>
        <v>Usluge telefona, pošte i prijevoza</v>
      </c>
      <c r="E39" s="123" t="s">
        <v>699</v>
      </c>
      <c r="F39" s="85" t="str">
        <f t="shared" si="3"/>
        <v>NOVI PODPROJEKT</v>
      </c>
      <c r="G39" s="85" t="str">
        <f t="shared" si="4"/>
        <v>NOVI PODPROJEKT</v>
      </c>
      <c r="H39" s="291">
        <v>2632</v>
      </c>
      <c r="I39" s="291">
        <v>1059</v>
      </c>
      <c r="J39" s="291">
        <v>0</v>
      </c>
      <c r="K39" s="135" t="s">
        <v>5281</v>
      </c>
      <c r="L39" s="134" t="s">
        <v>5285</v>
      </c>
      <c r="M39" s="134" t="s">
        <v>5286</v>
      </c>
      <c r="N39" s="135" t="s">
        <v>5292</v>
      </c>
      <c r="O39" s="266"/>
      <c r="P39" s="89"/>
      <c r="R39" t="str">
        <f t="shared" si="5"/>
        <v>323</v>
      </c>
      <c r="S39" t="str">
        <f t="shared" si="6"/>
        <v>32</v>
      </c>
      <c r="T39" t="str">
        <f t="shared" si="7"/>
        <v>OV</v>
      </c>
      <c r="X39">
        <v>3299</v>
      </c>
      <c r="Y39" t="s">
        <v>57</v>
      </c>
      <c r="AA39" t="str">
        <f t="shared" si="8"/>
        <v>32</v>
      </c>
      <c r="AB39" t="str">
        <f t="shared" si="9"/>
        <v>329</v>
      </c>
      <c r="AD39" t="s">
        <v>704</v>
      </c>
      <c r="AE39" t="s">
        <v>705</v>
      </c>
      <c r="AF39" t="str">
        <f t="shared" si="10"/>
        <v>A679071</v>
      </c>
      <c r="AG39" t="str">
        <f>VLOOKUP(AF39,AKT!$C$4:$E$324,3,FALSE)</f>
        <v>0942</v>
      </c>
    </row>
    <row r="40" spans="1:33">
      <c r="A40" s="90">
        <v>51</v>
      </c>
      <c r="B40" s="85" t="str">
        <f t="shared" si="1"/>
        <v>Pomoći EU</v>
      </c>
      <c r="C40" s="90">
        <v>3293</v>
      </c>
      <c r="D40" s="85" t="str">
        <f t="shared" si="2"/>
        <v>Reprezentacija</v>
      </c>
      <c r="E40" s="123" t="s">
        <v>699</v>
      </c>
      <c r="F40" s="85" t="str">
        <f t="shared" si="3"/>
        <v>NOVI PODPROJEKT</v>
      </c>
      <c r="G40" s="85" t="str">
        <f t="shared" si="4"/>
        <v>NOVI PODPROJEKT</v>
      </c>
      <c r="H40" s="291">
        <v>1041</v>
      </c>
      <c r="I40" s="291">
        <v>524</v>
      </c>
      <c r="J40" s="291">
        <v>0</v>
      </c>
      <c r="K40" s="135" t="s">
        <v>5281</v>
      </c>
      <c r="L40" s="134" t="s">
        <v>5285</v>
      </c>
      <c r="M40" s="134" t="s">
        <v>5286</v>
      </c>
      <c r="N40" s="135" t="s">
        <v>5292</v>
      </c>
      <c r="O40" s="266"/>
      <c r="P40" s="89"/>
      <c r="R40" t="str">
        <f t="shared" si="5"/>
        <v>329</v>
      </c>
      <c r="S40" t="str">
        <f t="shared" si="6"/>
        <v>32</v>
      </c>
      <c r="T40" t="str">
        <f t="shared" si="7"/>
        <v>OV</v>
      </c>
      <c r="X40">
        <v>3411</v>
      </c>
      <c r="Y40" t="s">
        <v>186</v>
      </c>
      <c r="AA40" t="str">
        <f t="shared" si="8"/>
        <v>34</v>
      </c>
      <c r="AB40" t="str">
        <f t="shared" si="9"/>
        <v>341</v>
      </c>
      <c r="AD40" t="s">
        <v>706</v>
      </c>
      <c r="AE40" t="s">
        <v>707</v>
      </c>
      <c r="AF40" t="str">
        <f t="shared" si="10"/>
        <v>A679071</v>
      </c>
      <c r="AG40" t="str">
        <f>VLOOKUP(AF40,AKT!$C$4:$E$324,3,FALSE)</f>
        <v>0942</v>
      </c>
    </row>
    <row r="41" spans="1:33">
      <c r="A41" s="90">
        <v>51</v>
      </c>
      <c r="B41" s="85" t="str">
        <f t="shared" si="1"/>
        <v>Pomoći EU</v>
      </c>
      <c r="C41" s="90">
        <v>3237</v>
      </c>
      <c r="D41" s="85" t="str">
        <f t="shared" si="2"/>
        <v>Intelektualne i osobne usluge</v>
      </c>
      <c r="E41" s="123" t="s">
        <v>699</v>
      </c>
      <c r="F41" s="85" t="str">
        <f t="shared" si="3"/>
        <v>NOVI PODPROJEKT</v>
      </c>
      <c r="G41" s="85" t="str">
        <f t="shared" si="4"/>
        <v>NOVI PODPROJEKT</v>
      </c>
      <c r="H41" s="291">
        <v>1670</v>
      </c>
      <c r="I41" s="291">
        <v>896</v>
      </c>
      <c r="J41" s="291">
        <v>0</v>
      </c>
      <c r="K41" s="135" t="s">
        <v>5281</v>
      </c>
      <c r="L41" s="134" t="s">
        <v>5285</v>
      </c>
      <c r="M41" s="134" t="s">
        <v>5286</v>
      </c>
      <c r="N41" s="135" t="s">
        <v>5292</v>
      </c>
      <c r="O41" s="266"/>
      <c r="P41" s="89"/>
      <c r="R41" t="str">
        <f t="shared" si="5"/>
        <v>323</v>
      </c>
      <c r="S41" t="str">
        <f t="shared" si="6"/>
        <v>32</v>
      </c>
      <c r="T41" t="str">
        <f t="shared" si="7"/>
        <v>OV</v>
      </c>
      <c r="X41">
        <v>3422</v>
      </c>
      <c r="Y41" t="s">
        <v>149</v>
      </c>
      <c r="AA41" t="str">
        <f t="shared" si="8"/>
        <v>34</v>
      </c>
      <c r="AB41" t="str">
        <f t="shared" si="9"/>
        <v>342</v>
      </c>
      <c r="AD41" t="s">
        <v>708</v>
      </c>
      <c r="AE41" t="s">
        <v>709</v>
      </c>
      <c r="AF41" t="str">
        <f t="shared" si="10"/>
        <v>A679071</v>
      </c>
      <c r="AG41" t="str">
        <f>VLOOKUP(AF41,AKT!$C$4:$E$324,3,FALSE)</f>
        <v>0942</v>
      </c>
    </row>
    <row r="42" spans="1:33">
      <c r="A42" s="90">
        <v>51</v>
      </c>
      <c r="B42" s="85" t="str">
        <f t="shared" si="1"/>
        <v>Pomoći EU</v>
      </c>
      <c r="C42" s="90">
        <v>3431</v>
      </c>
      <c r="D42" s="85" t="str">
        <f t="shared" si="2"/>
        <v>Bankarske usluge i usluge platnog prometa</v>
      </c>
      <c r="E42" s="123" t="s">
        <v>699</v>
      </c>
      <c r="F42" s="85" t="str">
        <f t="shared" si="3"/>
        <v>NOVI PODPROJEKT</v>
      </c>
      <c r="G42" s="85" t="str">
        <f t="shared" si="4"/>
        <v>NOVI PODPROJEKT</v>
      </c>
      <c r="H42" s="291">
        <v>27</v>
      </c>
      <c r="I42" s="291">
        <v>19</v>
      </c>
      <c r="J42" s="291">
        <v>0</v>
      </c>
      <c r="K42" s="135" t="s">
        <v>5281</v>
      </c>
      <c r="L42" s="134" t="s">
        <v>5285</v>
      </c>
      <c r="M42" s="134" t="s">
        <v>5286</v>
      </c>
      <c r="N42" s="135" t="s">
        <v>5292</v>
      </c>
      <c r="O42" s="266"/>
      <c r="P42" s="89"/>
      <c r="R42" t="str">
        <f t="shared" si="5"/>
        <v>343</v>
      </c>
      <c r="S42" t="str">
        <f t="shared" si="6"/>
        <v>34</v>
      </c>
      <c r="T42" t="str">
        <f t="shared" si="7"/>
        <v>OV</v>
      </c>
      <c r="X42">
        <v>3423</v>
      </c>
      <c r="Y42" t="s">
        <v>149</v>
      </c>
      <c r="AA42" t="str">
        <f t="shared" si="8"/>
        <v>34</v>
      </c>
      <c r="AB42" t="str">
        <f t="shared" si="9"/>
        <v>342</v>
      </c>
      <c r="AD42" t="s">
        <v>3029</v>
      </c>
      <c r="AE42" t="s">
        <v>3030</v>
      </c>
      <c r="AF42" t="str">
        <f t="shared" si="10"/>
        <v>A679071</v>
      </c>
      <c r="AG42" t="str">
        <f>VLOOKUP(AF42,AKT!$C$4:$E$324,3,FALSE)</f>
        <v>0942</v>
      </c>
    </row>
    <row r="43" spans="1:33">
      <c r="A43" s="90">
        <v>51</v>
      </c>
      <c r="B43" s="85" t="str">
        <f t="shared" si="1"/>
        <v>Pomoći EU</v>
      </c>
      <c r="C43" s="90">
        <v>3111</v>
      </c>
      <c r="D43" s="85" t="str">
        <f t="shared" si="2"/>
        <v>Plaće za redovan rad</v>
      </c>
      <c r="E43" s="123" t="s">
        <v>699</v>
      </c>
      <c r="F43" s="85" t="str">
        <f t="shared" si="3"/>
        <v>NOVI PODPROJEKT</v>
      </c>
      <c r="G43" s="85" t="str">
        <f t="shared" si="4"/>
        <v>NOVI PODPROJEKT</v>
      </c>
      <c r="H43" s="291">
        <v>1672</v>
      </c>
      <c r="I43" s="291">
        <v>1672</v>
      </c>
      <c r="J43" s="291">
        <v>1672</v>
      </c>
      <c r="K43" s="292" t="s">
        <v>5282</v>
      </c>
      <c r="L43" s="134" t="s">
        <v>5287</v>
      </c>
      <c r="M43" s="134" t="s">
        <v>5288</v>
      </c>
      <c r="N43" s="135" t="s">
        <v>5294</v>
      </c>
      <c r="O43" s="266"/>
      <c r="P43" s="89"/>
      <c r="R43" t="str">
        <f t="shared" si="5"/>
        <v>311</v>
      </c>
      <c r="S43" t="str">
        <f t="shared" si="6"/>
        <v>31</v>
      </c>
      <c r="T43" t="str">
        <f t="shared" si="7"/>
        <v>OV</v>
      </c>
      <c r="X43">
        <v>3427</v>
      </c>
      <c r="Y43" t="s">
        <v>188</v>
      </c>
      <c r="AA43" t="str">
        <f t="shared" si="8"/>
        <v>34</v>
      </c>
      <c r="AB43" t="str">
        <f t="shared" si="9"/>
        <v>342</v>
      </c>
      <c r="AD43" t="s">
        <v>3031</v>
      </c>
      <c r="AE43" t="s">
        <v>3032</v>
      </c>
      <c r="AF43" t="str">
        <f t="shared" si="10"/>
        <v>A679071</v>
      </c>
      <c r="AG43" t="str">
        <f>VLOOKUP(AF43,AKT!$C$4:$E$324,3,FALSE)</f>
        <v>0942</v>
      </c>
    </row>
    <row r="44" spans="1:33">
      <c r="A44" s="90">
        <v>51</v>
      </c>
      <c r="B44" s="85" t="str">
        <f t="shared" si="1"/>
        <v>Pomoći EU</v>
      </c>
      <c r="C44" s="90">
        <v>3132</v>
      </c>
      <c r="D44" s="85" t="str">
        <f t="shared" si="2"/>
        <v>Doprinosi za obvezno zdravstveno osiguranje</v>
      </c>
      <c r="E44" s="123" t="s">
        <v>699</v>
      </c>
      <c r="F44" s="85" t="str">
        <f t="shared" si="3"/>
        <v>NOVI PODPROJEKT</v>
      </c>
      <c r="G44" s="85" t="str">
        <f t="shared" si="4"/>
        <v>NOVI PODPROJEKT</v>
      </c>
      <c r="H44" s="291">
        <v>280</v>
      </c>
      <c r="I44" s="291">
        <v>280</v>
      </c>
      <c r="J44" s="291">
        <v>280</v>
      </c>
      <c r="K44" s="292" t="s">
        <v>5282</v>
      </c>
      <c r="L44" s="134" t="s">
        <v>5287</v>
      </c>
      <c r="M44" s="134" t="s">
        <v>5288</v>
      </c>
      <c r="N44" s="135" t="s">
        <v>5294</v>
      </c>
      <c r="O44" s="266"/>
      <c r="P44" s="89"/>
      <c r="R44" t="str">
        <f t="shared" si="5"/>
        <v>313</v>
      </c>
      <c r="S44" t="str">
        <f t="shared" si="6"/>
        <v>31</v>
      </c>
      <c r="T44" t="str">
        <f t="shared" si="7"/>
        <v>OV</v>
      </c>
      <c r="X44">
        <v>3431</v>
      </c>
      <c r="Y44" t="s">
        <v>82</v>
      </c>
      <c r="AA44" t="str">
        <f t="shared" si="8"/>
        <v>34</v>
      </c>
      <c r="AB44" t="str">
        <f t="shared" si="9"/>
        <v>343</v>
      </c>
      <c r="AD44" t="s">
        <v>3033</v>
      </c>
      <c r="AE44" t="s">
        <v>3034</v>
      </c>
      <c r="AF44" t="str">
        <f t="shared" si="10"/>
        <v>A679071</v>
      </c>
      <c r="AG44" t="str">
        <f>VLOOKUP(AF44,AKT!$C$4:$E$324,3,FALSE)</f>
        <v>0942</v>
      </c>
    </row>
    <row r="45" spans="1:33">
      <c r="A45" s="90">
        <v>51</v>
      </c>
      <c r="B45" s="85" t="str">
        <f t="shared" si="1"/>
        <v>Pomoći EU</v>
      </c>
      <c r="C45" s="90">
        <v>3211</v>
      </c>
      <c r="D45" s="85" t="str">
        <f t="shared" si="2"/>
        <v>Službena putovanja</v>
      </c>
      <c r="E45" s="123" t="s">
        <v>699</v>
      </c>
      <c r="F45" s="85" t="str">
        <f t="shared" si="3"/>
        <v>NOVI PODPROJEKT</v>
      </c>
      <c r="G45" s="85" t="str">
        <f t="shared" si="4"/>
        <v>NOVI PODPROJEKT</v>
      </c>
      <c r="H45" s="291">
        <v>1041</v>
      </c>
      <c r="I45" s="291">
        <v>1816</v>
      </c>
      <c r="J45" s="291">
        <v>711</v>
      </c>
      <c r="K45" s="292" t="s">
        <v>5282</v>
      </c>
      <c r="L45" s="134" t="s">
        <v>5287</v>
      </c>
      <c r="M45" s="134" t="s">
        <v>5288</v>
      </c>
      <c r="N45" s="135" t="s">
        <v>5294</v>
      </c>
      <c r="O45" s="266"/>
      <c r="P45" s="89"/>
      <c r="R45" t="str">
        <f t="shared" si="5"/>
        <v>321</v>
      </c>
      <c r="S45" t="str">
        <f t="shared" si="6"/>
        <v>32</v>
      </c>
      <c r="T45" t="str">
        <f t="shared" si="7"/>
        <v>OV</v>
      </c>
      <c r="X45">
        <v>3432</v>
      </c>
      <c r="Y45" t="s">
        <v>98</v>
      </c>
      <c r="AA45" t="str">
        <f t="shared" si="8"/>
        <v>34</v>
      </c>
      <c r="AB45" t="str">
        <f t="shared" si="9"/>
        <v>343</v>
      </c>
      <c r="AD45" t="s">
        <v>710</v>
      </c>
      <c r="AE45" t="s">
        <v>711</v>
      </c>
      <c r="AF45" t="str">
        <f t="shared" si="10"/>
        <v>A679071</v>
      </c>
      <c r="AG45" t="str">
        <f>VLOOKUP(AF45,AKT!$C$4:$E$324,3,FALSE)</f>
        <v>0942</v>
      </c>
    </row>
    <row r="46" spans="1:33">
      <c r="A46" s="90">
        <v>51</v>
      </c>
      <c r="B46" s="85" t="str">
        <f t="shared" si="1"/>
        <v>Pomoći EU</v>
      </c>
      <c r="C46" s="90">
        <v>3214</v>
      </c>
      <c r="D46" s="85" t="str">
        <f t="shared" si="2"/>
        <v>Ostale naknade troškova zaposlenima</v>
      </c>
      <c r="E46" s="123" t="s">
        <v>699</v>
      </c>
      <c r="F46" s="85" t="str">
        <f t="shared" si="3"/>
        <v>NOVI PODPROJEKT</v>
      </c>
      <c r="G46" s="85" t="str">
        <f t="shared" si="4"/>
        <v>NOVI PODPROJEKT</v>
      </c>
      <c r="H46" s="291">
        <v>1428</v>
      </c>
      <c r="I46" s="291">
        <v>2453</v>
      </c>
      <c r="J46" s="291">
        <v>847</v>
      </c>
      <c r="K46" s="292" t="s">
        <v>5282</v>
      </c>
      <c r="L46" s="134" t="s">
        <v>5287</v>
      </c>
      <c r="M46" s="134" t="s">
        <v>5288</v>
      </c>
      <c r="N46" s="135" t="s">
        <v>5294</v>
      </c>
      <c r="O46" s="266"/>
      <c r="P46" s="89"/>
      <c r="R46" t="str">
        <f t="shared" si="5"/>
        <v>321</v>
      </c>
      <c r="S46" t="str">
        <f t="shared" si="6"/>
        <v>32</v>
      </c>
      <c r="T46" t="str">
        <f t="shared" si="7"/>
        <v>OV</v>
      </c>
      <c r="X46">
        <v>3433</v>
      </c>
      <c r="Y46" t="s">
        <v>136</v>
      </c>
      <c r="AA46" t="str">
        <f t="shared" si="8"/>
        <v>34</v>
      </c>
      <c r="AB46" t="str">
        <f t="shared" si="9"/>
        <v>343</v>
      </c>
      <c r="AD46" t="s">
        <v>1250</v>
      </c>
      <c r="AE46" t="s">
        <v>1251</v>
      </c>
      <c r="AF46" t="str">
        <f t="shared" si="10"/>
        <v>A679071</v>
      </c>
      <c r="AG46" t="str">
        <f>VLOOKUP(AF46,AKT!$C$4:$E$324,3,FALSE)</f>
        <v>0942</v>
      </c>
    </row>
    <row r="47" spans="1:33">
      <c r="A47" s="90">
        <v>51</v>
      </c>
      <c r="B47" s="85" t="str">
        <f t="shared" si="1"/>
        <v>Pomoći EU</v>
      </c>
      <c r="C47" s="90">
        <v>3213</v>
      </c>
      <c r="D47" s="85" t="str">
        <f t="shared" si="2"/>
        <v>Stručno usavršavanje zaposlenika</v>
      </c>
      <c r="E47" s="123" t="s">
        <v>699</v>
      </c>
      <c r="F47" s="85" t="str">
        <f t="shared" si="3"/>
        <v>NOVI PODPROJEKT</v>
      </c>
      <c r="G47" s="85" t="str">
        <f t="shared" si="4"/>
        <v>NOVI PODPROJEKT</v>
      </c>
      <c r="H47" s="291">
        <v>1133</v>
      </c>
      <c r="I47" s="291">
        <v>2206</v>
      </c>
      <c r="J47" s="291">
        <v>607</v>
      </c>
      <c r="K47" s="292" t="s">
        <v>5282</v>
      </c>
      <c r="L47" s="134" t="s">
        <v>5287</v>
      </c>
      <c r="M47" s="134" t="s">
        <v>5288</v>
      </c>
      <c r="N47" s="135" t="s">
        <v>5294</v>
      </c>
      <c r="O47" s="266"/>
      <c r="P47" s="89"/>
      <c r="R47" t="str">
        <f t="shared" si="5"/>
        <v>321</v>
      </c>
      <c r="S47" t="str">
        <f t="shared" si="6"/>
        <v>32</v>
      </c>
      <c r="T47" t="str">
        <f t="shared" si="7"/>
        <v>OV</v>
      </c>
      <c r="X47">
        <v>3434</v>
      </c>
      <c r="Y47" t="s">
        <v>67</v>
      </c>
      <c r="AA47" t="str">
        <f t="shared" si="8"/>
        <v>34</v>
      </c>
      <c r="AB47" t="str">
        <f t="shared" si="9"/>
        <v>343</v>
      </c>
      <c r="AD47" t="s">
        <v>1252</v>
      </c>
      <c r="AE47" t="s">
        <v>1253</v>
      </c>
      <c r="AF47" t="str">
        <f t="shared" si="10"/>
        <v>A679071</v>
      </c>
      <c r="AG47" t="str">
        <f>VLOOKUP(AF47,AKT!$C$4:$E$324,3,FALSE)</f>
        <v>0942</v>
      </c>
    </row>
    <row r="48" spans="1:33">
      <c r="A48" s="90">
        <v>51</v>
      </c>
      <c r="B48" s="85" t="str">
        <f t="shared" si="1"/>
        <v>Pomoći EU</v>
      </c>
      <c r="C48" s="90">
        <v>3293</v>
      </c>
      <c r="D48" s="85" t="str">
        <f t="shared" si="2"/>
        <v>Reprezentacija</v>
      </c>
      <c r="E48" s="123" t="s">
        <v>699</v>
      </c>
      <c r="F48" s="85" t="str">
        <f t="shared" si="3"/>
        <v>NOVI PODPROJEKT</v>
      </c>
      <c r="G48" s="85" t="str">
        <f t="shared" si="4"/>
        <v>NOVI PODPROJEKT</v>
      </c>
      <c r="H48" s="291">
        <v>553</v>
      </c>
      <c r="I48" s="291">
        <v>725</v>
      </c>
      <c r="J48" s="291">
        <v>475</v>
      </c>
      <c r="K48" s="292" t="s">
        <v>5282</v>
      </c>
      <c r="L48" s="134" t="s">
        <v>5287</v>
      </c>
      <c r="M48" s="134" t="s">
        <v>5288</v>
      </c>
      <c r="N48" s="135" t="s">
        <v>5294</v>
      </c>
      <c r="O48" s="266"/>
      <c r="P48" s="89"/>
      <c r="R48" t="str">
        <f t="shared" si="5"/>
        <v>329</v>
      </c>
      <c r="S48" t="str">
        <f t="shared" si="6"/>
        <v>32</v>
      </c>
      <c r="T48" t="str">
        <f t="shared" si="7"/>
        <v>OV</v>
      </c>
      <c r="X48">
        <v>3511</v>
      </c>
      <c r="Y48" t="s">
        <v>179</v>
      </c>
      <c r="AA48" t="str">
        <f t="shared" si="8"/>
        <v>35</v>
      </c>
      <c r="AB48" t="str">
        <f t="shared" si="9"/>
        <v>351</v>
      </c>
      <c r="AD48" t="s">
        <v>1254</v>
      </c>
      <c r="AE48" t="s">
        <v>1255</v>
      </c>
      <c r="AF48" t="str">
        <f t="shared" si="10"/>
        <v>A679071</v>
      </c>
      <c r="AG48" t="str">
        <f>VLOOKUP(AF48,AKT!$C$4:$E$324,3,FALSE)</f>
        <v>0942</v>
      </c>
    </row>
    <row r="49" spans="1:33">
      <c r="A49" s="90">
        <v>51</v>
      </c>
      <c r="B49" s="85" t="str">
        <f t="shared" si="1"/>
        <v>Pomoći EU</v>
      </c>
      <c r="C49" s="90">
        <v>3237</v>
      </c>
      <c r="D49" s="85" t="str">
        <f t="shared" si="2"/>
        <v>Intelektualne i osobne usluge</v>
      </c>
      <c r="E49" s="123" t="s">
        <v>699</v>
      </c>
      <c r="F49" s="85" t="str">
        <f t="shared" si="3"/>
        <v>NOVI PODPROJEKT</v>
      </c>
      <c r="G49" s="85" t="str">
        <f t="shared" si="4"/>
        <v>NOVI PODPROJEKT</v>
      </c>
      <c r="H49" s="291">
        <v>625</v>
      </c>
      <c r="I49" s="291">
        <v>725</v>
      </c>
      <c r="J49" s="291">
        <v>475</v>
      </c>
      <c r="K49" s="292" t="s">
        <v>5282</v>
      </c>
      <c r="L49" s="134" t="s">
        <v>5287</v>
      </c>
      <c r="M49" s="134" t="s">
        <v>5288</v>
      </c>
      <c r="N49" s="135" t="s">
        <v>5294</v>
      </c>
      <c r="O49" s="266"/>
      <c r="P49" s="89"/>
      <c r="R49" t="str">
        <f t="shared" si="5"/>
        <v>323</v>
      </c>
      <c r="S49" t="str">
        <f t="shared" si="6"/>
        <v>32</v>
      </c>
      <c r="T49" t="str">
        <f t="shared" si="7"/>
        <v>OV</v>
      </c>
      <c r="X49">
        <v>3512</v>
      </c>
      <c r="Y49" t="s">
        <v>181</v>
      </c>
      <c r="AA49" t="str">
        <f t="shared" si="8"/>
        <v>35</v>
      </c>
      <c r="AB49" t="str">
        <f t="shared" si="9"/>
        <v>351</v>
      </c>
      <c r="AD49" t="s">
        <v>1256</v>
      </c>
      <c r="AE49" t="s">
        <v>1257</v>
      </c>
      <c r="AF49" t="str">
        <f t="shared" si="10"/>
        <v>A679071</v>
      </c>
      <c r="AG49" t="str">
        <f>VLOOKUP(AF49,AKT!$C$4:$E$324,3,FALSE)</f>
        <v>0942</v>
      </c>
    </row>
    <row r="50" spans="1:33">
      <c r="A50" s="90">
        <v>51</v>
      </c>
      <c r="B50" s="85" t="str">
        <f t="shared" si="1"/>
        <v>Pomoći EU</v>
      </c>
      <c r="C50" s="90">
        <v>3431</v>
      </c>
      <c r="D50" s="85" t="str">
        <f t="shared" si="2"/>
        <v>Bankarske usluge i usluge platnog prometa</v>
      </c>
      <c r="E50" s="123" t="s">
        <v>699</v>
      </c>
      <c r="F50" s="85" t="str">
        <f t="shared" si="3"/>
        <v>NOVI PODPROJEKT</v>
      </c>
      <c r="G50" s="85" t="str">
        <f t="shared" si="4"/>
        <v>NOVI PODPROJEKT</v>
      </c>
      <c r="H50" s="291">
        <v>24</v>
      </c>
      <c r="I50" s="291">
        <v>33</v>
      </c>
      <c r="J50" s="291">
        <v>21</v>
      </c>
      <c r="K50" s="292" t="s">
        <v>5282</v>
      </c>
      <c r="L50" s="134" t="s">
        <v>5287</v>
      </c>
      <c r="M50" s="134" t="s">
        <v>5288</v>
      </c>
      <c r="N50" s="135" t="s">
        <v>5294</v>
      </c>
      <c r="O50" s="266"/>
      <c r="P50" s="89"/>
      <c r="R50" t="str">
        <f t="shared" si="5"/>
        <v>343</v>
      </c>
      <c r="S50" t="str">
        <f t="shared" si="6"/>
        <v>34</v>
      </c>
      <c r="T50" t="str">
        <f t="shared" si="7"/>
        <v>OV</v>
      </c>
      <c r="X50">
        <v>3522</v>
      </c>
      <c r="Y50" t="s">
        <v>234</v>
      </c>
      <c r="AA50" t="str">
        <f t="shared" si="8"/>
        <v>35</v>
      </c>
      <c r="AB50" t="str">
        <f t="shared" si="9"/>
        <v>352</v>
      </c>
      <c r="AD50" t="s">
        <v>1258</v>
      </c>
      <c r="AE50" t="s">
        <v>1259</v>
      </c>
      <c r="AF50" t="str">
        <f t="shared" si="10"/>
        <v>A679071</v>
      </c>
      <c r="AG50" t="str">
        <f>VLOOKUP(AF50,AKT!$C$4:$E$324,3,FALSE)</f>
        <v>0942</v>
      </c>
    </row>
    <row r="51" spans="1:33">
      <c r="A51" s="90">
        <v>51</v>
      </c>
      <c r="B51" s="85" t="str">
        <f t="shared" si="1"/>
        <v>Pomoći EU</v>
      </c>
      <c r="C51" s="90">
        <v>3241</v>
      </c>
      <c r="D51" s="85" t="str">
        <f t="shared" si="2"/>
        <v>Naknade troškova osobama izvan radnog odnosa</v>
      </c>
      <c r="E51" s="123" t="s">
        <v>699</v>
      </c>
      <c r="F51" s="85" t="str">
        <f t="shared" si="3"/>
        <v>NOVI PODPROJEKT</v>
      </c>
      <c r="G51" s="85" t="str">
        <f t="shared" si="4"/>
        <v>NOVI PODPROJEKT</v>
      </c>
      <c r="H51" s="291">
        <v>446</v>
      </c>
      <c r="I51" s="291">
        <v>783</v>
      </c>
      <c r="J51" s="291">
        <v>257</v>
      </c>
      <c r="K51" s="292" t="s">
        <v>5282</v>
      </c>
      <c r="L51" s="134" t="s">
        <v>5287</v>
      </c>
      <c r="M51" s="134" t="s">
        <v>5289</v>
      </c>
      <c r="N51" s="135" t="s">
        <v>5294</v>
      </c>
      <c r="O51" s="266"/>
      <c r="P51" s="89"/>
      <c r="R51" t="str">
        <f t="shared" si="5"/>
        <v>324</v>
      </c>
      <c r="S51" t="str">
        <f t="shared" si="6"/>
        <v>32</v>
      </c>
      <c r="T51" t="str">
        <f t="shared" si="7"/>
        <v>OV</v>
      </c>
      <c r="X51">
        <v>3531</v>
      </c>
      <c r="Y51" t="s">
        <v>133</v>
      </c>
      <c r="AA51" t="str">
        <f t="shared" si="8"/>
        <v>35</v>
      </c>
      <c r="AB51" t="str">
        <f t="shared" si="9"/>
        <v>353</v>
      </c>
      <c r="AD51" t="s">
        <v>1260</v>
      </c>
      <c r="AE51" t="s">
        <v>1261</v>
      </c>
      <c r="AF51" t="str">
        <f t="shared" si="10"/>
        <v>A679071</v>
      </c>
      <c r="AG51" t="str">
        <f>VLOOKUP(AF51,AKT!$C$4:$E$324,3,FALSE)</f>
        <v>0942</v>
      </c>
    </row>
    <row r="52" spans="1:33">
      <c r="A52" s="90">
        <v>51</v>
      </c>
      <c r="B52" s="85" t="str">
        <f t="shared" si="1"/>
        <v>Pomoći EU</v>
      </c>
      <c r="C52" s="90">
        <v>3111</v>
      </c>
      <c r="D52" s="85" t="str">
        <f t="shared" si="2"/>
        <v>Plaće za redovan rad</v>
      </c>
      <c r="E52" s="123" t="s">
        <v>699</v>
      </c>
      <c r="F52" s="85" t="str">
        <f t="shared" si="3"/>
        <v>NOVI PODPROJEKT</v>
      </c>
      <c r="G52" s="85" t="str">
        <f t="shared" si="4"/>
        <v>NOVI PODPROJEKT</v>
      </c>
      <c r="H52" s="291">
        <v>5110</v>
      </c>
      <c r="I52" s="291">
        <v>1951</v>
      </c>
      <c r="J52" s="291">
        <v>0</v>
      </c>
      <c r="K52" s="292" t="s">
        <v>5283</v>
      </c>
      <c r="L52" s="134" t="s">
        <v>5287</v>
      </c>
      <c r="M52" s="134" t="s">
        <v>5290</v>
      </c>
      <c r="N52" s="135" t="s">
        <v>5295</v>
      </c>
      <c r="O52" s="266"/>
      <c r="P52" s="89"/>
      <c r="R52" t="str">
        <f t="shared" si="5"/>
        <v>311</v>
      </c>
      <c r="S52" t="str">
        <f t="shared" si="6"/>
        <v>31</v>
      </c>
      <c r="T52" t="str">
        <f t="shared" si="7"/>
        <v>OV</v>
      </c>
      <c r="X52">
        <v>3611</v>
      </c>
      <c r="Y52" t="s">
        <v>87</v>
      </c>
      <c r="AA52" t="str">
        <f t="shared" si="8"/>
        <v>36</v>
      </c>
      <c r="AB52" t="str">
        <f t="shared" si="9"/>
        <v>361</v>
      </c>
      <c r="AD52" t="s">
        <v>1262</v>
      </c>
      <c r="AE52" t="s">
        <v>1263</v>
      </c>
      <c r="AF52" t="str">
        <f t="shared" si="10"/>
        <v>A679071</v>
      </c>
      <c r="AG52" t="str">
        <f>VLOOKUP(AF52,AKT!$C$4:$E$324,3,FALSE)</f>
        <v>0942</v>
      </c>
    </row>
    <row r="53" spans="1:33">
      <c r="A53" s="90">
        <v>51</v>
      </c>
      <c r="B53" s="85" t="str">
        <f t="shared" si="1"/>
        <v>Pomoći EU</v>
      </c>
      <c r="C53" s="90">
        <v>3132</v>
      </c>
      <c r="D53" s="85" t="str">
        <f t="shared" si="2"/>
        <v>Doprinosi za obvezno zdravstveno osiguranje</v>
      </c>
      <c r="E53" s="123" t="s">
        <v>699</v>
      </c>
      <c r="F53" s="85" t="str">
        <f t="shared" si="3"/>
        <v>NOVI PODPROJEKT</v>
      </c>
      <c r="G53" s="85" t="str">
        <f t="shared" si="4"/>
        <v>NOVI PODPROJEKT</v>
      </c>
      <c r="H53" s="291">
        <v>856</v>
      </c>
      <c r="I53" s="291">
        <v>328</v>
      </c>
      <c r="J53" s="291">
        <v>0</v>
      </c>
      <c r="K53" s="292" t="s">
        <v>5283</v>
      </c>
      <c r="L53" s="134" t="s">
        <v>5287</v>
      </c>
      <c r="M53" s="134" t="s">
        <v>5290</v>
      </c>
      <c r="N53" s="135" t="s">
        <v>5295</v>
      </c>
      <c r="O53" s="266"/>
      <c r="P53" s="89"/>
      <c r="R53" t="str">
        <f t="shared" si="5"/>
        <v>313</v>
      </c>
      <c r="S53" t="str">
        <f t="shared" si="6"/>
        <v>31</v>
      </c>
      <c r="T53" t="str">
        <f t="shared" si="7"/>
        <v>OV</v>
      </c>
      <c r="X53">
        <v>3621</v>
      </c>
      <c r="Y53" t="s">
        <v>137</v>
      </c>
      <c r="AA53" t="str">
        <f t="shared" si="8"/>
        <v>36</v>
      </c>
      <c r="AB53" t="str">
        <f t="shared" si="9"/>
        <v>362</v>
      </c>
      <c r="AD53" t="s">
        <v>1264</v>
      </c>
      <c r="AE53" t="s">
        <v>1265</v>
      </c>
      <c r="AF53" t="str">
        <f t="shared" si="10"/>
        <v>A679071</v>
      </c>
      <c r="AG53" t="str">
        <f>VLOOKUP(AF53,AKT!$C$4:$E$324,3,FALSE)</f>
        <v>0942</v>
      </c>
    </row>
    <row r="54" spans="1:33">
      <c r="A54" s="90">
        <v>51</v>
      </c>
      <c r="B54" s="85" t="str">
        <f t="shared" si="1"/>
        <v>Pomoći EU</v>
      </c>
      <c r="C54" s="90">
        <v>3211</v>
      </c>
      <c r="D54" s="85" t="str">
        <f t="shared" si="2"/>
        <v>Službena putovanja</v>
      </c>
      <c r="E54" s="123" t="s">
        <v>699</v>
      </c>
      <c r="F54" s="85" t="str">
        <f t="shared" si="3"/>
        <v>NOVI PODPROJEKT</v>
      </c>
      <c r="G54" s="85" t="str">
        <f t="shared" si="4"/>
        <v>NOVI PODPROJEKT</v>
      </c>
      <c r="H54" s="291">
        <v>881</v>
      </c>
      <c r="I54" s="291">
        <v>251</v>
      </c>
      <c r="J54" s="291">
        <v>0</v>
      </c>
      <c r="K54" s="292" t="s">
        <v>5283</v>
      </c>
      <c r="L54" s="134" t="s">
        <v>5287</v>
      </c>
      <c r="M54" s="134" t="s">
        <v>5290</v>
      </c>
      <c r="N54" s="135" t="s">
        <v>5295</v>
      </c>
      <c r="O54" s="266"/>
      <c r="P54" s="89"/>
      <c r="R54" t="str">
        <f t="shared" si="5"/>
        <v>321</v>
      </c>
      <c r="S54" t="str">
        <f t="shared" si="6"/>
        <v>32</v>
      </c>
      <c r="T54" t="str">
        <f t="shared" si="7"/>
        <v>OV</v>
      </c>
      <c r="X54">
        <v>3631</v>
      </c>
      <c r="Y54" t="s">
        <v>178</v>
      </c>
      <c r="AA54" t="str">
        <f t="shared" si="8"/>
        <v>36</v>
      </c>
      <c r="AB54" t="str">
        <f t="shared" si="9"/>
        <v>363</v>
      </c>
      <c r="AD54" t="s">
        <v>1266</v>
      </c>
      <c r="AE54" t="s">
        <v>1267</v>
      </c>
      <c r="AF54" t="str">
        <f t="shared" si="10"/>
        <v>A679071</v>
      </c>
      <c r="AG54" t="str">
        <f>VLOOKUP(AF54,AKT!$C$4:$E$324,3,FALSE)</f>
        <v>0942</v>
      </c>
    </row>
    <row r="55" spans="1:33">
      <c r="A55" s="90">
        <v>51</v>
      </c>
      <c r="B55" s="85" t="str">
        <f t="shared" si="1"/>
        <v>Pomoći EU</v>
      </c>
      <c r="C55" s="90">
        <v>3214</v>
      </c>
      <c r="D55" s="85" t="str">
        <f t="shared" si="2"/>
        <v>Ostale naknade troškova zaposlenima</v>
      </c>
      <c r="E55" s="123" t="s">
        <v>699</v>
      </c>
      <c r="F55" s="85" t="str">
        <f t="shared" si="3"/>
        <v>NOVI PODPROJEKT</v>
      </c>
      <c r="G55" s="85" t="str">
        <f t="shared" si="4"/>
        <v>NOVI PODPROJEKT</v>
      </c>
      <c r="H55" s="291">
        <v>1104</v>
      </c>
      <c r="I55" s="291">
        <v>316</v>
      </c>
      <c r="J55" s="291">
        <v>0</v>
      </c>
      <c r="K55" s="292" t="s">
        <v>5283</v>
      </c>
      <c r="L55" s="134" t="s">
        <v>5287</v>
      </c>
      <c r="M55" s="134" t="s">
        <v>5290</v>
      </c>
      <c r="N55" s="135" t="s">
        <v>5295</v>
      </c>
      <c r="O55" s="266"/>
      <c r="P55" s="89"/>
      <c r="R55" t="str">
        <f t="shared" si="5"/>
        <v>321</v>
      </c>
      <c r="S55" t="str">
        <f t="shared" si="6"/>
        <v>32</v>
      </c>
      <c r="T55" t="str">
        <f t="shared" si="7"/>
        <v>OV</v>
      </c>
      <c r="X55">
        <v>3632</v>
      </c>
      <c r="Y55" t="s">
        <v>235</v>
      </c>
      <c r="AA55" t="str">
        <f t="shared" si="8"/>
        <v>36</v>
      </c>
      <c r="AB55" t="str">
        <f t="shared" si="9"/>
        <v>363</v>
      </c>
      <c r="AD55" t="s">
        <v>1268</v>
      </c>
      <c r="AE55" t="s">
        <v>1269</v>
      </c>
      <c r="AF55" t="str">
        <f t="shared" si="10"/>
        <v>A679071</v>
      </c>
      <c r="AG55" t="str">
        <f>VLOOKUP(AF55,AKT!$C$4:$E$324,3,FALSE)</f>
        <v>0942</v>
      </c>
    </row>
    <row r="56" spans="1:33">
      <c r="A56" s="90">
        <v>51</v>
      </c>
      <c r="B56" s="85" t="str">
        <f t="shared" si="1"/>
        <v>Pomoći EU</v>
      </c>
      <c r="C56" s="90">
        <v>3213</v>
      </c>
      <c r="D56" s="85" t="str">
        <f t="shared" si="2"/>
        <v>Stručno usavršavanje zaposlenika</v>
      </c>
      <c r="E56" s="123" t="s">
        <v>699</v>
      </c>
      <c r="F56" s="85" t="str">
        <f t="shared" si="3"/>
        <v>NOVI PODPROJEKT</v>
      </c>
      <c r="G56" s="85" t="str">
        <f t="shared" si="4"/>
        <v>NOVI PODPROJEKT</v>
      </c>
      <c r="H56" s="291">
        <v>887</v>
      </c>
      <c r="I56" s="291">
        <v>199</v>
      </c>
      <c r="J56" s="291">
        <v>0</v>
      </c>
      <c r="K56" s="292" t="s">
        <v>5283</v>
      </c>
      <c r="L56" s="134" t="s">
        <v>5287</v>
      </c>
      <c r="M56" s="134" t="s">
        <v>5290</v>
      </c>
      <c r="N56" s="135" t="s">
        <v>5295</v>
      </c>
      <c r="O56" s="266"/>
      <c r="P56" s="89"/>
      <c r="R56" t="str">
        <f t="shared" si="5"/>
        <v>321</v>
      </c>
      <c r="S56" t="str">
        <f t="shared" si="6"/>
        <v>32</v>
      </c>
      <c r="T56" t="str">
        <f t="shared" si="7"/>
        <v>OV</v>
      </c>
      <c r="X56">
        <v>3661</v>
      </c>
      <c r="Y56" t="s">
        <v>99</v>
      </c>
      <c r="AA56" t="str">
        <f t="shared" si="8"/>
        <v>36</v>
      </c>
      <c r="AB56" t="str">
        <f t="shared" si="9"/>
        <v>366</v>
      </c>
      <c r="AD56" t="s">
        <v>1270</v>
      </c>
      <c r="AE56" t="s">
        <v>1271</v>
      </c>
      <c r="AF56" t="str">
        <f t="shared" si="10"/>
        <v>A679071</v>
      </c>
      <c r="AG56" t="str">
        <f>VLOOKUP(AF56,AKT!$C$4:$E$324,3,FALSE)</f>
        <v>0942</v>
      </c>
    </row>
    <row r="57" spans="1:33">
      <c r="A57" s="90">
        <v>51</v>
      </c>
      <c r="B57" s="85" t="str">
        <f t="shared" si="1"/>
        <v>Pomoći EU</v>
      </c>
      <c r="C57" s="90">
        <v>3293</v>
      </c>
      <c r="D57" s="85" t="str">
        <f t="shared" si="2"/>
        <v>Reprezentacija</v>
      </c>
      <c r="E57" s="123" t="s">
        <v>699</v>
      </c>
      <c r="F57" s="85" t="str">
        <f t="shared" si="3"/>
        <v>NOVI PODPROJEKT</v>
      </c>
      <c r="G57" s="85" t="str">
        <f t="shared" si="4"/>
        <v>NOVI PODPROJEKT</v>
      </c>
      <c r="H57" s="291">
        <v>427</v>
      </c>
      <c r="I57" s="291">
        <v>459</v>
      </c>
      <c r="J57" s="291">
        <v>0</v>
      </c>
      <c r="K57" s="292" t="s">
        <v>5283</v>
      </c>
      <c r="L57" s="134" t="s">
        <v>5287</v>
      </c>
      <c r="M57" s="134" t="s">
        <v>5290</v>
      </c>
      <c r="N57" s="135" t="s">
        <v>5295</v>
      </c>
      <c r="O57" s="266"/>
      <c r="P57" s="89"/>
      <c r="R57" t="str">
        <f t="shared" si="5"/>
        <v>329</v>
      </c>
      <c r="S57" t="str">
        <f t="shared" si="6"/>
        <v>32</v>
      </c>
      <c r="T57" t="str">
        <f t="shared" si="7"/>
        <v>OV</v>
      </c>
      <c r="X57">
        <v>3662</v>
      </c>
      <c r="Y57" t="s">
        <v>182</v>
      </c>
      <c r="AA57" t="str">
        <f t="shared" si="8"/>
        <v>36</v>
      </c>
      <c r="AB57" t="str">
        <f t="shared" si="9"/>
        <v>366</v>
      </c>
      <c r="AD57" t="s">
        <v>3035</v>
      </c>
      <c r="AE57" t="s">
        <v>3036</v>
      </c>
      <c r="AF57" t="str">
        <f t="shared" si="10"/>
        <v>A679071</v>
      </c>
      <c r="AG57" t="str">
        <f>VLOOKUP(AF57,AKT!$C$4:$E$324,3,FALSE)</f>
        <v>0942</v>
      </c>
    </row>
    <row r="58" spans="1:33">
      <c r="A58" s="90">
        <v>51</v>
      </c>
      <c r="B58" s="85" t="str">
        <f t="shared" si="1"/>
        <v>Pomoći EU</v>
      </c>
      <c r="C58" s="90">
        <v>3237</v>
      </c>
      <c r="D58" s="85" t="str">
        <f t="shared" si="2"/>
        <v>Intelektualne i osobne usluge</v>
      </c>
      <c r="E58" s="123" t="s">
        <v>699</v>
      </c>
      <c r="F58" s="85" t="str">
        <f t="shared" si="3"/>
        <v>NOVI PODPROJEKT</v>
      </c>
      <c r="G58" s="85" t="str">
        <f t="shared" si="4"/>
        <v>NOVI PODPROJEKT</v>
      </c>
      <c r="H58" s="291">
        <v>428</v>
      </c>
      <c r="I58" s="291">
        <v>370</v>
      </c>
      <c r="J58" s="291">
        <v>0</v>
      </c>
      <c r="K58" s="292" t="s">
        <v>5283</v>
      </c>
      <c r="L58" s="134" t="s">
        <v>5287</v>
      </c>
      <c r="M58" s="134" t="s">
        <v>5290</v>
      </c>
      <c r="N58" s="135" t="s">
        <v>5295</v>
      </c>
      <c r="O58" s="266"/>
      <c r="P58" s="89"/>
      <c r="R58" t="str">
        <f t="shared" si="5"/>
        <v>323</v>
      </c>
      <c r="S58" t="str">
        <f t="shared" si="6"/>
        <v>32</v>
      </c>
      <c r="T58" t="str">
        <f t="shared" si="7"/>
        <v>OV</v>
      </c>
      <c r="X58">
        <v>3681</v>
      </c>
      <c r="Y58" t="s">
        <v>26</v>
      </c>
      <c r="AA58" t="str">
        <f t="shared" si="8"/>
        <v>36</v>
      </c>
      <c r="AB58" t="str">
        <f t="shared" si="9"/>
        <v>368</v>
      </c>
      <c r="AD58" t="s">
        <v>2019</v>
      </c>
      <c r="AE58" t="s">
        <v>2020</v>
      </c>
      <c r="AF58" t="str">
        <f t="shared" si="10"/>
        <v>A679071</v>
      </c>
      <c r="AG58" t="str">
        <f>VLOOKUP(AF58,AKT!$C$4:$E$324,3,FALSE)</f>
        <v>0942</v>
      </c>
    </row>
    <row r="59" spans="1:33">
      <c r="A59" s="90">
        <v>51</v>
      </c>
      <c r="B59" s="85" t="str">
        <f t="shared" si="1"/>
        <v>Pomoći EU</v>
      </c>
      <c r="C59" s="90">
        <v>3431</v>
      </c>
      <c r="D59" s="85" t="str">
        <f t="shared" si="2"/>
        <v>Bankarske usluge i usluge platnog prometa</v>
      </c>
      <c r="E59" s="123" t="s">
        <v>699</v>
      </c>
      <c r="F59" s="85" t="str">
        <f t="shared" si="3"/>
        <v>NOVI PODPROJEKT</v>
      </c>
      <c r="G59" s="85" t="str">
        <f t="shared" si="4"/>
        <v>NOVI PODPROJEKT</v>
      </c>
      <c r="H59" s="291">
        <v>29</v>
      </c>
      <c r="I59" s="291">
        <v>11</v>
      </c>
      <c r="J59" s="291">
        <v>0</v>
      </c>
      <c r="K59" s="292" t="s">
        <v>5283</v>
      </c>
      <c r="L59" s="134" t="s">
        <v>5287</v>
      </c>
      <c r="M59" s="134" t="s">
        <v>5290</v>
      </c>
      <c r="N59" s="135" t="s">
        <v>5295</v>
      </c>
      <c r="O59" s="266"/>
      <c r="P59" s="89"/>
      <c r="R59" t="str">
        <f t="shared" si="5"/>
        <v>343</v>
      </c>
      <c r="S59" t="str">
        <f t="shared" si="6"/>
        <v>34</v>
      </c>
      <c r="T59" t="str">
        <f t="shared" si="7"/>
        <v>OV</v>
      </c>
      <c r="X59">
        <v>3682</v>
      </c>
      <c r="Y59" t="s">
        <v>27</v>
      </c>
      <c r="AA59" t="str">
        <f t="shared" si="8"/>
        <v>36</v>
      </c>
      <c r="AB59" t="str">
        <f t="shared" si="9"/>
        <v>368</v>
      </c>
      <c r="AD59" t="s">
        <v>2021</v>
      </c>
      <c r="AE59" t="s">
        <v>2022</v>
      </c>
      <c r="AF59" t="str">
        <f t="shared" si="10"/>
        <v>A679071</v>
      </c>
      <c r="AG59" t="str">
        <f>VLOOKUP(AF59,AKT!$C$4:$E$324,3,FALSE)</f>
        <v>0942</v>
      </c>
    </row>
    <row r="60" spans="1:33">
      <c r="A60" s="90">
        <v>51</v>
      </c>
      <c r="B60" s="85" t="str">
        <f t="shared" si="1"/>
        <v>Pomoći EU</v>
      </c>
      <c r="C60" s="90">
        <v>3111</v>
      </c>
      <c r="D60" s="85" t="str">
        <f t="shared" si="2"/>
        <v>Plaće za redovan rad</v>
      </c>
      <c r="E60" s="123" t="s">
        <v>699</v>
      </c>
      <c r="F60" s="85" t="str">
        <f t="shared" si="3"/>
        <v>NOVI PODPROJEKT</v>
      </c>
      <c r="G60" s="85" t="str">
        <f t="shared" si="4"/>
        <v>NOVI PODPROJEKT</v>
      </c>
      <c r="H60" s="291">
        <v>5030</v>
      </c>
      <c r="I60" s="291">
        <v>1301</v>
      </c>
      <c r="J60" s="291">
        <v>1301</v>
      </c>
      <c r="K60" s="292" t="s">
        <v>5284</v>
      </c>
      <c r="L60" s="134" t="s">
        <v>5287</v>
      </c>
      <c r="M60" s="134" t="s">
        <v>5291</v>
      </c>
      <c r="N60" s="135" t="s">
        <v>5293</v>
      </c>
      <c r="O60" s="266"/>
      <c r="P60" s="89"/>
      <c r="R60" t="str">
        <f t="shared" si="5"/>
        <v>311</v>
      </c>
      <c r="S60" t="str">
        <f t="shared" si="6"/>
        <v>31</v>
      </c>
      <c r="T60" t="str">
        <f t="shared" si="7"/>
        <v>OV</v>
      </c>
      <c r="X60">
        <v>3691</v>
      </c>
      <c r="Y60" t="s">
        <v>104</v>
      </c>
      <c r="AA60" t="str">
        <f t="shared" si="8"/>
        <v>36</v>
      </c>
      <c r="AB60" t="str">
        <f t="shared" si="9"/>
        <v>369</v>
      </c>
      <c r="AD60" t="s">
        <v>2023</v>
      </c>
      <c r="AE60" t="s">
        <v>2024</v>
      </c>
      <c r="AF60" t="str">
        <f t="shared" si="10"/>
        <v>A679071</v>
      </c>
      <c r="AG60" t="str">
        <f>VLOOKUP(AF60,AKT!$C$4:$E$324,3,FALSE)</f>
        <v>0942</v>
      </c>
    </row>
    <row r="61" spans="1:33">
      <c r="A61" s="90">
        <v>51</v>
      </c>
      <c r="B61" s="85" t="str">
        <f t="shared" si="1"/>
        <v>Pomoći EU</v>
      </c>
      <c r="C61" s="90">
        <v>3132</v>
      </c>
      <c r="D61" s="85" t="str">
        <f t="shared" si="2"/>
        <v>Doprinosi za obvezno zdravstveno osiguranje</v>
      </c>
      <c r="E61" s="123" t="s">
        <v>699</v>
      </c>
      <c r="F61" s="85" t="str">
        <f t="shared" si="3"/>
        <v>NOVI PODPROJEKT</v>
      </c>
      <c r="G61" s="85" t="str">
        <f t="shared" si="4"/>
        <v>NOVI PODPROJEKT</v>
      </c>
      <c r="H61" s="291">
        <v>843</v>
      </c>
      <c r="I61" s="291">
        <v>218</v>
      </c>
      <c r="J61" s="291">
        <v>218</v>
      </c>
      <c r="K61" s="292" t="s">
        <v>5284</v>
      </c>
      <c r="L61" s="134" t="s">
        <v>5287</v>
      </c>
      <c r="M61" s="134" t="s">
        <v>5291</v>
      </c>
      <c r="N61" s="135" t="s">
        <v>5293</v>
      </c>
      <c r="O61" s="266"/>
      <c r="P61" s="89"/>
      <c r="R61" t="str">
        <f t="shared" si="5"/>
        <v>313</v>
      </c>
      <c r="S61" t="str">
        <f t="shared" si="6"/>
        <v>31</v>
      </c>
      <c r="T61" t="str">
        <f t="shared" si="7"/>
        <v>OV</v>
      </c>
      <c r="X61">
        <v>3692</v>
      </c>
      <c r="Y61" t="s">
        <v>176</v>
      </c>
      <c r="AA61" t="str">
        <f t="shared" si="8"/>
        <v>36</v>
      </c>
      <c r="AB61" t="str">
        <f t="shared" si="9"/>
        <v>369</v>
      </c>
      <c r="AD61" t="s">
        <v>2025</v>
      </c>
      <c r="AE61" t="s">
        <v>2026</v>
      </c>
      <c r="AF61" t="str">
        <f t="shared" si="10"/>
        <v>A679071</v>
      </c>
      <c r="AG61" t="str">
        <f>VLOOKUP(AF61,AKT!$C$4:$E$324,3,FALSE)</f>
        <v>0942</v>
      </c>
    </row>
    <row r="62" spans="1:33">
      <c r="A62" s="90">
        <v>51</v>
      </c>
      <c r="B62" s="85" t="str">
        <f t="shared" si="1"/>
        <v>Pomoći EU</v>
      </c>
      <c r="C62" s="90">
        <v>3211</v>
      </c>
      <c r="D62" s="85" t="str">
        <f t="shared" si="2"/>
        <v>Službena putovanja</v>
      </c>
      <c r="E62" s="123" t="s">
        <v>699</v>
      </c>
      <c r="F62" s="85" t="str">
        <f t="shared" si="3"/>
        <v>NOVI PODPROJEKT</v>
      </c>
      <c r="G62" s="85" t="str">
        <f t="shared" si="4"/>
        <v>NOVI PODPROJEKT</v>
      </c>
      <c r="H62" s="291">
        <v>5792</v>
      </c>
      <c r="I62" s="291">
        <v>746</v>
      </c>
      <c r="J62" s="291">
        <v>746</v>
      </c>
      <c r="K62" s="292" t="s">
        <v>5284</v>
      </c>
      <c r="L62" s="134" t="s">
        <v>5287</v>
      </c>
      <c r="M62" s="134" t="s">
        <v>5291</v>
      </c>
      <c r="N62" s="135" t="s">
        <v>5293</v>
      </c>
      <c r="O62" s="266"/>
      <c r="P62" s="89"/>
      <c r="R62" t="str">
        <f t="shared" si="5"/>
        <v>321</v>
      </c>
      <c r="S62" t="str">
        <f t="shared" si="6"/>
        <v>32</v>
      </c>
      <c r="T62" t="str">
        <f t="shared" si="7"/>
        <v>OV</v>
      </c>
      <c r="X62">
        <v>3693</v>
      </c>
      <c r="Y62" t="s">
        <v>104</v>
      </c>
      <c r="AA62" t="str">
        <f t="shared" si="8"/>
        <v>36</v>
      </c>
      <c r="AB62" t="str">
        <f t="shared" si="9"/>
        <v>369</v>
      </c>
      <c r="AD62" t="s">
        <v>2027</v>
      </c>
      <c r="AE62" t="s">
        <v>2028</v>
      </c>
      <c r="AF62" t="str">
        <f t="shared" si="10"/>
        <v>A679071</v>
      </c>
      <c r="AG62" t="str">
        <f>VLOOKUP(AF62,AKT!$C$4:$E$324,3,FALSE)</f>
        <v>0942</v>
      </c>
    </row>
    <row r="63" spans="1:33">
      <c r="A63" s="90">
        <v>51</v>
      </c>
      <c r="B63" s="85" t="str">
        <f t="shared" si="1"/>
        <v>Pomoći EU</v>
      </c>
      <c r="C63" s="90">
        <v>3214</v>
      </c>
      <c r="D63" s="85" t="str">
        <f t="shared" si="2"/>
        <v>Ostale naknade troškova zaposlenima</v>
      </c>
      <c r="E63" s="123" t="s">
        <v>699</v>
      </c>
      <c r="F63" s="85" t="str">
        <f t="shared" si="3"/>
        <v>NOVI PODPROJEKT</v>
      </c>
      <c r="G63" s="85" t="str">
        <f t="shared" si="4"/>
        <v>NOVI PODPROJEKT</v>
      </c>
      <c r="H63" s="291">
        <v>2966</v>
      </c>
      <c r="I63" s="291">
        <v>502</v>
      </c>
      <c r="J63" s="291">
        <v>502</v>
      </c>
      <c r="K63" s="292" t="s">
        <v>5284</v>
      </c>
      <c r="L63" s="134" t="s">
        <v>5287</v>
      </c>
      <c r="M63" s="134" t="s">
        <v>5291</v>
      </c>
      <c r="N63" s="135" t="s">
        <v>5293</v>
      </c>
      <c r="O63" s="266"/>
      <c r="P63" s="89"/>
      <c r="R63" t="str">
        <f t="shared" si="5"/>
        <v>321</v>
      </c>
      <c r="S63" t="str">
        <f t="shared" si="6"/>
        <v>32</v>
      </c>
      <c r="T63" t="str">
        <f t="shared" si="7"/>
        <v>OV</v>
      </c>
      <c r="X63">
        <v>3694</v>
      </c>
      <c r="Y63" t="s">
        <v>176</v>
      </c>
      <c r="AA63" t="str">
        <f t="shared" si="8"/>
        <v>36</v>
      </c>
      <c r="AB63" t="str">
        <f t="shared" si="9"/>
        <v>369</v>
      </c>
      <c r="AD63" t="s">
        <v>2029</v>
      </c>
      <c r="AE63" t="s">
        <v>2030</v>
      </c>
      <c r="AF63" t="str">
        <f t="shared" si="10"/>
        <v>A679071</v>
      </c>
      <c r="AG63" t="str">
        <f>VLOOKUP(AF63,AKT!$C$4:$E$324,3,FALSE)</f>
        <v>0942</v>
      </c>
    </row>
    <row r="64" spans="1:33">
      <c r="A64" s="90">
        <v>51</v>
      </c>
      <c r="B64" s="85" t="str">
        <f t="shared" si="1"/>
        <v>Pomoći EU</v>
      </c>
      <c r="C64" s="90">
        <v>3213</v>
      </c>
      <c r="D64" s="85" t="str">
        <f t="shared" si="2"/>
        <v>Stručno usavršavanje zaposlenika</v>
      </c>
      <c r="E64" s="123" t="s">
        <v>699</v>
      </c>
      <c r="F64" s="85" t="str">
        <f t="shared" si="3"/>
        <v>NOVI PODPROJEKT</v>
      </c>
      <c r="G64" s="85" t="str">
        <f t="shared" si="4"/>
        <v>NOVI PODPROJEKT</v>
      </c>
      <c r="H64" s="291">
        <v>4794</v>
      </c>
      <c r="I64" s="291">
        <v>293</v>
      </c>
      <c r="J64" s="291">
        <v>293</v>
      </c>
      <c r="K64" s="292" t="s">
        <v>5284</v>
      </c>
      <c r="L64" s="134" t="s">
        <v>5287</v>
      </c>
      <c r="M64" s="134" t="s">
        <v>5291</v>
      </c>
      <c r="N64" s="135" t="s">
        <v>5293</v>
      </c>
      <c r="O64" s="266"/>
      <c r="P64" s="89"/>
      <c r="R64" t="str">
        <f t="shared" si="5"/>
        <v>321</v>
      </c>
      <c r="S64" t="str">
        <f t="shared" si="6"/>
        <v>32</v>
      </c>
      <c r="T64" t="str">
        <f t="shared" si="7"/>
        <v>OV</v>
      </c>
      <c r="X64">
        <v>3711</v>
      </c>
      <c r="Y64" t="s">
        <v>123</v>
      </c>
      <c r="AA64" t="str">
        <f t="shared" si="8"/>
        <v>37</v>
      </c>
      <c r="AB64" t="str">
        <f t="shared" si="9"/>
        <v>371</v>
      </c>
      <c r="AD64" t="s">
        <v>2031</v>
      </c>
      <c r="AE64" t="s">
        <v>2032</v>
      </c>
      <c r="AF64" t="str">
        <f t="shared" si="10"/>
        <v>A679071</v>
      </c>
      <c r="AG64" t="str">
        <f>VLOOKUP(AF64,AKT!$C$4:$E$324,3,FALSE)</f>
        <v>0942</v>
      </c>
    </row>
    <row r="65" spans="1:33">
      <c r="A65" s="90">
        <v>51</v>
      </c>
      <c r="B65" s="85" t="str">
        <f t="shared" si="1"/>
        <v>Pomoći EU</v>
      </c>
      <c r="C65" s="90">
        <v>3293</v>
      </c>
      <c r="D65" s="85" t="str">
        <f t="shared" si="2"/>
        <v>Reprezentacija</v>
      </c>
      <c r="E65" s="123" t="s">
        <v>699</v>
      </c>
      <c r="F65" s="85" t="str">
        <f t="shared" si="3"/>
        <v>NOVI PODPROJEKT</v>
      </c>
      <c r="G65" s="85" t="str">
        <f t="shared" si="4"/>
        <v>NOVI PODPROJEKT</v>
      </c>
      <c r="H65" s="291">
        <v>1002</v>
      </c>
      <c r="I65" s="291">
        <v>340</v>
      </c>
      <c r="J65" s="291">
        <v>340</v>
      </c>
      <c r="K65" s="292" t="s">
        <v>5284</v>
      </c>
      <c r="L65" s="134" t="s">
        <v>5287</v>
      </c>
      <c r="M65" s="134" t="s">
        <v>5291</v>
      </c>
      <c r="N65" s="135" t="s">
        <v>5293</v>
      </c>
      <c r="O65" s="266"/>
      <c r="P65" s="89"/>
      <c r="R65" t="str">
        <f t="shared" si="5"/>
        <v>329</v>
      </c>
      <c r="S65" t="str">
        <f t="shared" si="6"/>
        <v>32</v>
      </c>
      <c r="T65" t="str">
        <f t="shared" si="7"/>
        <v>OV</v>
      </c>
      <c r="X65">
        <v>3712</v>
      </c>
      <c r="Y65" t="s">
        <v>141</v>
      </c>
      <c r="AA65" t="str">
        <f t="shared" si="8"/>
        <v>37</v>
      </c>
      <c r="AB65" t="str">
        <f t="shared" si="9"/>
        <v>371</v>
      </c>
      <c r="AD65" t="s">
        <v>2033</v>
      </c>
      <c r="AE65" t="s">
        <v>2034</v>
      </c>
      <c r="AF65" t="str">
        <f t="shared" si="10"/>
        <v>A679071</v>
      </c>
      <c r="AG65" t="str">
        <f>VLOOKUP(AF65,AKT!$C$4:$E$324,3,FALSE)</f>
        <v>0942</v>
      </c>
    </row>
    <row r="66" spans="1:33">
      <c r="A66" s="90">
        <v>51</v>
      </c>
      <c r="B66" s="85" t="str">
        <f t="shared" si="1"/>
        <v>Pomoći EU</v>
      </c>
      <c r="C66" s="90">
        <v>3237</v>
      </c>
      <c r="D66" s="85" t="str">
        <f t="shared" si="2"/>
        <v>Intelektualne i osobne usluge</v>
      </c>
      <c r="E66" s="123" t="s">
        <v>699</v>
      </c>
      <c r="F66" s="85" t="str">
        <f t="shared" si="3"/>
        <v>NOVI PODPROJEKT</v>
      </c>
      <c r="G66" s="85" t="str">
        <f t="shared" si="4"/>
        <v>NOVI PODPROJEKT</v>
      </c>
      <c r="H66" s="291">
        <v>1980</v>
      </c>
      <c r="I66" s="291">
        <v>323</v>
      </c>
      <c r="J66" s="291">
        <v>323</v>
      </c>
      <c r="K66" s="292" t="s">
        <v>5284</v>
      </c>
      <c r="L66" s="134" t="s">
        <v>5287</v>
      </c>
      <c r="M66" s="134" t="s">
        <v>5291</v>
      </c>
      <c r="N66" s="135" t="s">
        <v>5293</v>
      </c>
      <c r="O66" s="266"/>
      <c r="P66" s="89"/>
      <c r="R66" t="str">
        <f t="shared" si="5"/>
        <v>323</v>
      </c>
      <c r="S66" t="str">
        <f t="shared" si="6"/>
        <v>32</v>
      </c>
      <c r="T66" t="str">
        <f t="shared" si="7"/>
        <v>OV</v>
      </c>
      <c r="X66">
        <v>3713</v>
      </c>
      <c r="Y66" t="s">
        <v>168</v>
      </c>
      <c r="AA66" t="str">
        <f t="shared" si="8"/>
        <v>37</v>
      </c>
      <c r="AB66" t="str">
        <f t="shared" si="9"/>
        <v>371</v>
      </c>
      <c r="AD66" t="s">
        <v>2035</v>
      </c>
      <c r="AE66" t="s">
        <v>2036</v>
      </c>
      <c r="AF66" t="str">
        <f t="shared" si="10"/>
        <v>A679071</v>
      </c>
      <c r="AG66" t="str">
        <f>VLOOKUP(AF66,AKT!$C$4:$E$324,3,FALSE)</f>
        <v>0942</v>
      </c>
    </row>
    <row r="67" spans="1:33">
      <c r="A67" s="90">
        <v>51</v>
      </c>
      <c r="B67" s="85" t="str">
        <f t="shared" si="1"/>
        <v>Pomoći EU</v>
      </c>
      <c r="C67" s="90">
        <v>3431</v>
      </c>
      <c r="D67" s="85" t="str">
        <f t="shared" si="2"/>
        <v>Bankarske usluge i usluge platnog prometa</v>
      </c>
      <c r="E67" s="123" t="s">
        <v>699</v>
      </c>
      <c r="F67" s="85" t="str">
        <f t="shared" si="3"/>
        <v>NOVI PODPROJEKT</v>
      </c>
      <c r="G67" s="85" t="str">
        <f t="shared" si="4"/>
        <v>NOVI PODPROJEKT</v>
      </c>
      <c r="H67" s="291">
        <v>57</v>
      </c>
      <c r="I67" s="291">
        <v>13</v>
      </c>
      <c r="J67" s="291">
        <v>13</v>
      </c>
      <c r="K67" s="292" t="s">
        <v>5284</v>
      </c>
      <c r="L67" s="134" t="s">
        <v>5287</v>
      </c>
      <c r="M67" s="134" t="s">
        <v>5291</v>
      </c>
      <c r="N67" s="135" t="s">
        <v>5293</v>
      </c>
      <c r="O67" s="266"/>
      <c r="P67" s="89"/>
      <c r="R67" t="str">
        <f t="shared" si="5"/>
        <v>343</v>
      </c>
      <c r="S67" t="str">
        <f t="shared" si="6"/>
        <v>34</v>
      </c>
      <c r="T67" t="str">
        <f t="shared" si="7"/>
        <v>OV</v>
      </c>
      <c r="X67">
        <v>3714</v>
      </c>
      <c r="Y67" t="s">
        <v>189</v>
      </c>
      <c r="AA67" t="str">
        <f t="shared" si="8"/>
        <v>37</v>
      </c>
      <c r="AB67" t="str">
        <f t="shared" si="9"/>
        <v>371</v>
      </c>
      <c r="AD67" t="s">
        <v>2037</v>
      </c>
      <c r="AE67" t="s">
        <v>2038</v>
      </c>
      <c r="AF67" t="str">
        <f t="shared" si="10"/>
        <v>A679071</v>
      </c>
      <c r="AG67" t="str">
        <f>VLOOKUP(AF67,AKT!$C$4:$E$324,3,FALSE)</f>
        <v>0942</v>
      </c>
    </row>
    <row r="68" spans="1:33">
      <c r="A68" s="90">
        <v>51</v>
      </c>
      <c r="B68" s="85" t="str">
        <f t="shared" ref="B68:B131" si="17">IFERROR(VLOOKUP(A68,$U$6:$V$23,2,FALSE),"")</f>
        <v>Pomoći EU</v>
      </c>
      <c r="C68" s="90">
        <v>3231</v>
      </c>
      <c r="D68" s="85" t="str">
        <f t="shared" ref="D68:D131" si="18">IFERROR(VLOOKUP(C68,$X$5:$Z$129,2,FALSE),"")</f>
        <v>Usluge telefona, pošte i prijevoza</v>
      </c>
      <c r="E68" s="123" t="s">
        <v>699</v>
      </c>
      <c r="F68" s="85" t="str">
        <f t="shared" ref="F68:F131" si="19">IFERROR(VLOOKUP(E68,$AD$6:$AE$1090,2,FALSE),"")</f>
        <v>NOVI PODPROJEKT</v>
      </c>
      <c r="G68" s="85" t="str">
        <f t="shared" ref="G68:G131" si="20">IFERROR(VLOOKUP(E68,$AD$6:$AG$1090,4,FALSE),"")</f>
        <v>NOVI PODPROJEKT</v>
      </c>
      <c r="H68" s="291">
        <v>3232</v>
      </c>
      <c r="I68" s="291">
        <v>300</v>
      </c>
      <c r="J68" s="291">
        <v>300</v>
      </c>
      <c r="K68" s="292" t="s">
        <v>5284</v>
      </c>
      <c r="L68" s="134" t="s">
        <v>5287</v>
      </c>
      <c r="M68" s="134" t="s">
        <v>5291</v>
      </c>
      <c r="N68" s="135" t="s">
        <v>5293</v>
      </c>
      <c r="O68" s="266"/>
      <c r="P68" s="89"/>
      <c r="R68" t="str">
        <f t="shared" ref="R68:R131" si="21">LEFT(C68,3)</f>
        <v>323</v>
      </c>
      <c r="S68" t="str">
        <f t="shared" ref="S68:S131" si="22">LEFT(C68,2)</f>
        <v>32</v>
      </c>
      <c r="T68" t="str">
        <f t="shared" ref="T68:T131" si="23">MID(G68,2,2)</f>
        <v>OV</v>
      </c>
      <c r="X68">
        <v>3715</v>
      </c>
      <c r="Y68" t="s">
        <v>127</v>
      </c>
      <c r="AA68" t="str">
        <f t="shared" si="8"/>
        <v>37</v>
      </c>
      <c r="AB68" t="str">
        <f t="shared" si="9"/>
        <v>371</v>
      </c>
      <c r="AD68" t="s">
        <v>2039</v>
      </c>
      <c r="AE68" t="s">
        <v>2040</v>
      </c>
      <c r="AF68" t="str">
        <f t="shared" si="10"/>
        <v>A679071</v>
      </c>
      <c r="AG68" t="str">
        <f>VLOOKUP(AF68,AKT!$C$4:$E$324,3,FALSE)</f>
        <v>0942</v>
      </c>
    </row>
    <row r="69" spans="1:33">
      <c r="A69" s="90"/>
      <c r="B69" s="85" t="str">
        <f t="shared" si="17"/>
        <v/>
      </c>
      <c r="C69" s="90"/>
      <c r="D69" s="85" t="str">
        <f t="shared" si="18"/>
        <v/>
      </c>
      <c r="E69" s="123"/>
      <c r="F69" s="85" t="str">
        <f t="shared" si="19"/>
        <v/>
      </c>
      <c r="G69" s="85" t="str">
        <f t="shared" si="20"/>
        <v/>
      </c>
      <c r="H69" s="122"/>
      <c r="I69" s="122"/>
      <c r="J69" s="122"/>
      <c r="K69" s="135"/>
      <c r="L69" s="134"/>
      <c r="M69" s="134"/>
      <c r="N69" s="135"/>
      <c r="O69" s="266"/>
      <c r="P69" s="89"/>
      <c r="R69" t="str">
        <f t="shared" si="21"/>
        <v/>
      </c>
      <c r="S69" t="str">
        <f t="shared" si="22"/>
        <v/>
      </c>
      <c r="T69" t="str">
        <f t="shared" si="23"/>
        <v/>
      </c>
      <c r="X69">
        <v>3721</v>
      </c>
      <c r="Y69" t="s">
        <v>65</v>
      </c>
      <c r="AA69" t="str">
        <f t="shared" ref="AA69:AA129" si="24">LEFT(X69,2)</f>
        <v>37</v>
      </c>
      <c r="AB69" t="str">
        <f t="shared" si="9"/>
        <v>372</v>
      </c>
      <c r="AD69" t="s">
        <v>2041</v>
      </c>
      <c r="AE69" t="s">
        <v>2042</v>
      </c>
      <c r="AF69" t="str">
        <f t="shared" si="10"/>
        <v>A679071</v>
      </c>
      <c r="AG69" t="str">
        <f>VLOOKUP(AF69,AKT!$C$4:$E$324,3,FALSE)</f>
        <v>0942</v>
      </c>
    </row>
    <row r="70" spans="1:33">
      <c r="A70" s="90"/>
      <c r="B70" s="85" t="str">
        <f t="shared" si="17"/>
        <v/>
      </c>
      <c r="C70" s="90"/>
      <c r="D70" s="85" t="str">
        <f t="shared" si="18"/>
        <v/>
      </c>
      <c r="E70" s="123"/>
      <c r="F70" s="85" t="str">
        <f t="shared" si="19"/>
        <v/>
      </c>
      <c r="G70" s="85" t="str">
        <f t="shared" si="20"/>
        <v/>
      </c>
      <c r="H70" s="122"/>
      <c r="I70" s="122"/>
      <c r="J70" s="122"/>
      <c r="K70" s="135"/>
      <c r="L70" s="134"/>
      <c r="M70" s="134"/>
      <c r="N70" s="135"/>
      <c r="O70" s="266"/>
      <c r="P70" s="89"/>
      <c r="R70" t="str">
        <f t="shared" si="21"/>
        <v/>
      </c>
      <c r="S70" t="str">
        <f t="shared" si="22"/>
        <v/>
      </c>
      <c r="T70" t="str">
        <f t="shared" si="23"/>
        <v/>
      </c>
      <c r="X70">
        <v>3722</v>
      </c>
      <c r="Y70" t="s">
        <v>150</v>
      </c>
      <c r="AA70" t="str">
        <f t="shared" si="24"/>
        <v>37</v>
      </c>
      <c r="AB70" t="str">
        <f t="shared" ref="AB70:AB129" si="25">LEFT(X70,3)</f>
        <v>372</v>
      </c>
      <c r="AD70" t="s">
        <v>2043</v>
      </c>
      <c r="AE70" t="s">
        <v>2044</v>
      </c>
      <c r="AF70" t="str">
        <f t="shared" si="10"/>
        <v>A679071</v>
      </c>
      <c r="AG70" t="str">
        <f>VLOOKUP(AF70,AKT!$C$4:$E$324,3,FALSE)</f>
        <v>0942</v>
      </c>
    </row>
    <row r="71" spans="1:33">
      <c r="A71" s="90"/>
      <c r="B71" s="85" t="str">
        <f t="shared" si="17"/>
        <v/>
      </c>
      <c r="C71" s="90"/>
      <c r="D71" s="85" t="str">
        <f t="shared" si="18"/>
        <v/>
      </c>
      <c r="E71" s="123"/>
      <c r="F71" s="85" t="str">
        <f t="shared" si="19"/>
        <v/>
      </c>
      <c r="G71" s="85" t="str">
        <f t="shared" si="20"/>
        <v/>
      </c>
      <c r="H71" s="122"/>
      <c r="I71" s="122"/>
      <c r="J71" s="122"/>
      <c r="K71" s="135"/>
      <c r="L71" s="134"/>
      <c r="M71" s="134"/>
      <c r="N71" s="135"/>
      <c r="O71" s="266"/>
      <c r="P71" s="89"/>
      <c r="R71" t="str">
        <f t="shared" si="21"/>
        <v/>
      </c>
      <c r="S71" t="str">
        <f t="shared" si="22"/>
        <v/>
      </c>
      <c r="T71" t="str">
        <f t="shared" si="23"/>
        <v/>
      </c>
      <c r="X71">
        <v>3723</v>
      </c>
      <c r="Y71" t="s">
        <v>105</v>
      </c>
      <c r="AA71" t="str">
        <f t="shared" si="24"/>
        <v>37</v>
      </c>
      <c r="AB71" t="str">
        <f t="shared" si="25"/>
        <v>372</v>
      </c>
      <c r="AD71" t="s">
        <v>2045</v>
      </c>
      <c r="AE71" t="s">
        <v>2046</v>
      </c>
      <c r="AF71" t="str">
        <f t="shared" si="10"/>
        <v>A679071</v>
      </c>
      <c r="AG71" t="str">
        <f>VLOOKUP(AF71,AKT!$C$4:$E$324,3,FALSE)</f>
        <v>0942</v>
      </c>
    </row>
    <row r="72" spans="1:33">
      <c r="A72" s="90"/>
      <c r="B72" s="85" t="str">
        <f t="shared" si="17"/>
        <v/>
      </c>
      <c r="C72" s="90"/>
      <c r="D72" s="85" t="str">
        <f t="shared" si="18"/>
        <v/>
      </c>
      <c r="E72" s="123"/>
      <c r="F72" s="85" t="str">
        <f t="shared" si="19"/>
        <v/>
      </c>
      <c r="G72" s="85" t="str">
        <f t="shared" si="20"/>
        <v/>
      </c>
      <c r="H72" s="122"/>
      <c r="I72" s="122"/>
      <c r="J72" s="122"/>
      <c r="K72" s="135"/>
      <c r="L72" s="134"/>
      <c r="M72" s="134"/>
      <c r="N72" s="135"/>
      <c r="O72" s="266"/>
      <c r="P72" s="89"/>
      <c r="R72" t="str">
        <f t="shared" si="21"/>
        <v/>
      </c>
      <c r="S72" t="str">
        <f t="shared" si="22"/>
        <v/>
      </c>
      <c r="T72" t="str">
        <f t="shared" si="23"/>
        <v/>
      </c>
      <c r="X72">
        <v>3811</v>
      </c>
      <c r="Y72" t="s">
        <v>55</v>
      </c>
      <c r="AA72" t="str">
        <f t="shared" si="24"/>
        <v>38</v>
      </c>
      <c r="AB72" t="str">
        <f t="shared" si="25"/>
        <v>381</v>
      </c>
      <c r="AD72" t="s">
        <v>2047</v>
      </c>
      <c r="AE72" t="s">
        <v>2048</v>
      </c>
      <c r="AF72" t="str">
        <f t="shared" ref="AF72:AF135" si="26">LEFT(AD72,7)</f>
        <v>A679071</v>
      </c>
      <c r="AG72" t="str">
        <f>VLOOKUP(AF72,AKT!$C$4:$E$324,3,FALSE)</f>
        <v>0942</v>
      </c>
    </row>
    <row r="73" spans="1:33">
      <c r="A73" s="90"/>
      <c r="B73" s="85" t="str">
        <f t="shared" si="17"/>
        <v/>
      </c>
      <c r="C73" s="90"/>
      <c r="D73" s="85" t="str">
        <f t="shared" si="18"/>
        <v/>
      </c>
      <c r="E73" s="123"/>
      <c r="F73" s="85" t="str">
        <f t="shared" si="19"/>
        <v/>
      </c>
      <c r="G73" s="85" t="str">
        <f t="shared" si="20"/>
        <v/>
      </c>
      <c r="H73" s="122"/>
      <c r="I73" s="122"/>
      <c r="J73" s="122"/>
      <c r="K73" s="135"/>
      <c r="L73" s="134"/>
      <c r="M73" s="134"/>
      <c r="N73" s="135"/>
      <c r="O73" s="266"/>
      <c r="P73" s="89"/>
      <c r="R73" t="str">
        <f t="shared" si="21"/>
        <v/>
      </c>
      <c r="S73" t="str">
        <f t="shared" si="22"/>
        <v/>
      </c>
      <c r="T73" t="str">
        <f t="shared" si="23"/>
        <v/>
      </c>
      <c r="X73">
        <v>3812</v>
      </c>
      <c r="Y73" t="s">
        <v>151</v>
      </c>
      <c r="AA73" t="str">
        <f t="shared" si="24"/>
        <v>38</v>
      </c>
      <c r="AB73" t="str">
        <f t="shared" si="25"/>
        <v>381</v>
      </c>
      <c r="AD73" t="s">
        <v>2049</v>
      </c>
      <c r="AE73" t="s">
        <v>2050</v>
      </c>
      <c r="AF73" t="str">
        <f t="shared" si="26"/>
        <v>A679071</v>
      </c>
      <c r="AG73" t="str">
        <f>VLOOKUP(AF73,AKT!$C$4:$E$324,3,FALSE)</f>
        <v>0942</v>
      </c>
    </row>
    <row r="74" spans="1:33">
      <c r="A74" s="90"/>
      <c r="B74" s="85" t="str">
        <f t="shared" si="17"/>
        <v/>
      </c>
      <c r="C74" s="90"/>
      <c r="D74" s="85" t="str">
        <f t="shared" si="18"/>
        <v/>
      </c>
      <c r="E74" s="123"/>
      <c r="F74" s="85" t="str">
        <f t="shared" si="19"/>
        <v/>
      </c>
      <c r="G74" s="85" t="str">
        <f t="shared" si="20"/>
        <v/>
      </c>
      <c r="H74" s="122"/>
      <c r="I74" s="122"/>
      <c r="J74" s="122"/>
      <c r="K74" s="135"/>
      <c r="L74" s="134"/>
      <c r="M74" s="134"/>
      <c r="N74" s="135"/>
      <c r="O74" s="266"/>
      <c r="P74" s="89"/>
      <c r="R74" t="str">
        <f t="shared" si="21"/>
        <v/>
      </c>
      <c r="S74" t="str">
        <f t="shared" si="22"/>
        <v/>
      </c>
      <c r="T74" t="str">
        <f t="shared" si="23"/>
        <v/>
      </c>
      <c r="X74">
        <v>3813</v>
      </c>
      <c r="Y74" t="s">
        <v>94</v>
      </c>
      <c r="AA74" t="str">
        <f t="shared" si="24"/>
        <v>38</v>
      </c>
      <c r="AB74" t="str">
        <f t="shared" si="25"/>
        <v>381</v>
      </c>
      <c r="AD74" t="s">
        <v>2051</v>
      </c>
      <c r="AE74" t="s">
        <v>2052</v>
      </c>
      <c r="AF74" t="str">
        <f t="shared" si="26"/>
        <v>A679071</v>
      </c>
      <c r="AG74" t="str">
        <f>VLOOKUP(AF74,AKT!$C$4:$E$324,3,FALSE)</f>
        <v>0942</v>
      </c>
    </row>
    <row r="75" spans="1:33">
      <c r="A75" s="90"/>
      <c r="B75" s="85" t="str">
        <f t="shared" si="17"/>
        <v/>
      </c>
      <c r="C75" s="90"/>
      <c r="D75" s="85" t="str">
        <f t="shared" si="18"/>
        <v/>
      </c>
      <c r="E75" s="123"/>
      <c r="F75" s="85" t="str">
        <f t="shared" si="19"/>
        <v/>
      </c>
      <c r="G75" s="85" t="str">
        <f t="shared" si="20"/>
        <v/>
      </c>
      <c r="H75" s="122"/>
      <c r="I75" s="122"/>
      <c r="J75" s="122"/>
      <c r="K75" s="135"/>
      <c r="L75" s="134"/>
      <c r="M75" s="134"/>
      <c r="N75" s="135"/>
      <c r="O75" s="266"/>
      <c r="P75" s="89"/>
      <c r="R75" t="str">
        <f t="shared" si="21"/>
        <v/>
      </c>
      <c r="S75" t="str">
        <f t="shared" si="22"/>
        <v/>
      </c>
      <c r="T75" t="str">
        <f t="shared" si="23"/>
        <v/>
      </c>
      <c r="X75">
        <v>3821</v>
      </c>
      <c r="Y75" t="s">
        <v>169</v>
      </c>
      <c r="AA75" t="str">
        <f t="shared" si="24"/>
        <v>38</v>
      </c>
      <c r="AB75" t="str">
        <f t="shared" si="25"/>
        <v>382</v>
      </c>
      <c r="AD75" t="s">
        <v>2053</v>
      </c>
      <c r="AE75" t="s">
        <v>2054</v>
      </c>
      <c r="AF75" t="str">
        <f t="shared" si="26"/>
        <v>A679071</v>
      </c>
      <c r="AG75" t="str">
        <f>VLOOKUP(AF75,AKT!$C$4:$E$324,3,FALSE)</f>
        <v>0942</v>
      </c>
    </row>
    <row r="76" spans="1:33">
      <c r="A76" s="90"/>
      <c r="B76" s="85" t="str">
        <f t="shared" si="17"/>
        <v/>
      </c>
      <c r="C76" s="90"/>
      <c r="D76" s="85" t="str">
        <f t="shared" si="18"/>
        <v/>
      </c>
      <c r="E76" s="123"/>
      <c r="F76" s="85" t="str">
        <f t="shared" si="19"/>
        <v/>
      </c>
      <c r="G76" s="85" t="str">
        <f t="shared" si="20"/>
        <v/>
      </c>
      <c r="H76" s="122"/>
      <c r="I76" s="122"/>
      <c r="J76" s="122"/>
      <c r="K76" s="135"/>
      <c r="L76" s="134"/>
      <c r="M76" s="134"/>
      <c r="N76" s="135"/>
      <c r="O76" s="266"/>
      <c r="P76" s="89"/>
      <c r="R76" t="str">
        <f t="shared" si="21"/>
        <v/>
      </c>
      <c r="S76" t="str">
        <f t="shared" si="22"/>
        <v/>
      </c>
      <c r="T76" t="str">
        <f t="shared" si="23"/>
        <v/>
      </c>
      <c r="X76">
        <v>3831</v>
      </c>
      <c r="Y76" t="s">
        <v>152</v>
      </c>
      <c r="AA76" t="str">
        <f t="shared" si="24"/>
        <v>38</v>
      </c>
      <c r="AB76" t="str">
        <f t="shared" si="25"/>
        <v>383</v>
      </c>
      <c r="AD76" t="s">
        <v>2055</v>
      </c>
      <c r="AE76" t="s">
        <v>2056</v>
      </c>
      <c r="AF76" t="str">
        <f t="shared" si="26"/>
        <v>A679071</v>
      </c>
      <c r="AG76" t="str">
        <f>VLOOKUP(AF76,AKT!$C$4:$E$324,3,FALSE)</f>
        <v>0942</v>
      </c>
    </row>
    <row r="77" spans="1:33">
      <c r="A77" s="90"/>
      <c r="B77" s="85" t="str">
        <f t="shared" si="17"/>
        <v/>
      </c>
      <c r="C77" s="90"/>
      <c r="D77" s="85" t="str">
        <f t="shared" si="18"/>
        <v/>
      </c>
      <c r="E77" s="123"/>
      <c r="F77" s="85" t="str">
        <f t="shared" si="19"/>
        <v/>
      </c>
      <c r="G77" s="85" t="str">
        <f t="shared" si="20"/>
        <v/>
      </c>
      <c r="H77" s="122"/>
      <c r="I77" s="122"/>
      <c r="J77" s="122"/>
      <c r="K77" s="135"/>
      <c r="L77" s="134"/>
      <c r="M77" s="134"/>
      <c r="N77" s="135"/>
      <c r="O77" s="266"/>
      <c r="P77" s="89"/>
      <c r="R77" t="str">
        <f t="shared" si="21"/>
        <v/>
      </c>
      <c r="S77" t="str">
        <f t="shared" si="22"/>
        <v/>
      </c>
      <c r="T77" t="str">
        <f t="shared" si="23"/>
        <v/>
      </c>
      <c r="X77">
        <v>3832</v>
      </c>
      <c r="Y77" t="s">
        <v>192</v>
      </c>
      <c r="AA77" t="str">
        <f t="shared" si="24"/>
        <v>38</v>
      </c>
      <c r="AB77" t="str">
        <f t="shared" si="25"/>
        <v>383</v>
      </c>
      <c r="AD77" t="s">
        <v>2057</v>
      </c>
      <c r="AE77" t="s">
        <v>2058</v>
      </c>
      <c r="AF77" t="str">
        <f t="shared" si="26"/>
        <v>A679071</v>
      </c>
      <c r="AG77" t="str">
        <f>VLOOKUP(AF77,AKT!$C$4:$E$324,3,FALSE)</f>
        <v>0942</v>
      </c>
    </row>
    <row r="78" spans="1:33">
      <c r="A78" s="90"/>
      <c r="B78" s="85" t="str">
        <f t="shared" si="17"/>
        <v/>
      </c>
      <c r="C78" s="90"/>
      <c r="D78" s="85" t="str">
        <f t="shared" si="18"/>
        <v/>
      </c>
      <c r="E78" s="123"/>
      <c r="F78" s="85" t="str">
        <f t="shared" si="19"/>
        <v/>
      </c>
      <c r="G78" s="85" t="str">
        <f t="shared" si="20"/>
        <v/>
      </c>
      <c r="H78" s="122"/>
      <c r="I78" s="122"/>
      <c r="J78" s="122"/>
      <c r="K78" s="135"/>
      <c r="L78" s="134"/>
      <c r="M78" s="134"/>
      <c r="N78" s="135"/>
      <c r="O78" s="266"/>
      <c r="P78" s="89"/>
      <c r="R78" t="str">
        <f t="shared" si="21"/>
        <v/>
      </c>
      <c r="S78" t="str">
        <f t="shared" si="22"/>
        <v/>
      </c>
      <c r="T78" t="str">
        <f t="shared" si="23"/>
        <v/>
      </c>
      <c r="X78">
        <v>3833</v>
      </c>
      <c r="Y78" t="s">
        <v>153</v>
      </c>
      <c r="AA78" t="str">
        <f t="shared" si="24"/>
        <v>38</v>
      </c>
      <c r="AB78" t="str">
        <f t="shared" si="25"/>
        <v>383</v>
      </c>
      <c r="AD78" t="s">
        <v>2059</v>
      </c>
      <c r="AE78" t="s">
        <v>2060</v>
      </c>
      <c r="AF78" t="str">
        <f t="shared" si="26"/>
        <v>A679071</v>
      </c>
      <c r="AG78" t="str">
        <f>VLOOKUP(AF78,AKT!$C$4:$E$324,3,FALSE)</f>
        <v>0942</v>
      </c>
    </row>
    <row r="79" spans="1:33">
      <c r="A79" s="90"/>
      <c r="B79" s="85" t="str">
        <f t="shared" si="17"/>
        <v/>
      </c>
      <c r="C79" s="90"/>
      <c r="D79" s="85" t="str">
        <f t="shared" si="18"/>
        <v/>
      </c>
      <c r="E79" s="123"/>
      <c r="F79" s="85" t="str">
        <f t="shared" si="19"/>
        <v/>
      </c>
      <c r="G79" s="85" t="str">
        <f t="shared" si="20"/>
        <v/>
      </c>
      <c r="H79" s="122"/>
      <c r="I79" s="122"/>
      <c r="J79" s="122"/>
      <c r="K79" s="135"/>
      <c r="L79" s="134"/>
      <c r="M79" s="134"/>
      <c r="N79" s="135"/>
      <c r="O79" s="266"/>
      <c r="P79" s="89"/>
      <c r="R79" t="str">
        <f t="shared" si="21"/>
        <v/>
      </c>
      <c r="S79" t="str">
        <f t="shared" si="22"/>
        <v/>
      </c>
      <c r="T79" t="str">
        <f t="shared" si="23"/>
        <v/>
      </c>
      <c r="X79">
        <v>3834</v>
      </c>
      <c r="Y79" t="s">
        <v>154</v>
      </c>
      <c r="AA79" t="str">
        <f t="shared" si="24"/>
        <v>38</v>
      </c>
      <c r="AB79" t="str">
        <f t="shared" si="25"/>
        <v>383</v>
      </c>
      <c r="AD79" t="s">
        <v>2061</v>
      </c>
      <c r="AE79" t="s">
        <v>2062</v>
      </c>
      <c r="AF79" t="str">
        <f t="shared" si="26"/>
        <v>A679071</v>
      </c>
      <c r="AG79" t="str">
        <f>VLOOKUP(AF79,AKT!$C$4:$E$324,3,FALSE)</f>
        <v>0942</v>
      </c>
    </row>
    <row r="80" spans="1:33">
      <c r="A80" s="90"/>
      <c r="B80" s="85" t="str">
        <f t="shared" si="17"/>
        <v/>
      </c>
      <c r="C80" s="90"/>
      <c r="D80" s="85" t="str">
        <f t="shared" si="18"/>
        <v/>
      </c>
      <c r="E80" s="123"/>
      <c r="F80" s="85" t="str">
        <f t="shared" si="19"/>
        <v/>
      </c>
      <c r="G80" s="85" t="str">
        <f t="shared" si="20"/>
        <v/>
      </c>
      <c r="H80" s="122"/>
      <c r="I80" s="122"/>
      <c r="J80" s="122"/>
      <c r="K80" s="135"/>
      <c r="L80" s="134"/>
      <c r="M80" s="134"/>
      <c r="N80" s="135"/>
      <c r="O80" s="266"/>
      <c r="P80" s="89"/>
      <c r="R80" t="str">
        <f t="shared" si="21"/>
        <v/>
      </c>
      <c r="S80" t="str">
        <f t="shared" si="22"/>
        <v/>
      </c>
      <c r="T80" t="str">
        <f t="shared" si="23"/>
        <v/>
      </c>
      <c r="X80">
        <v>3835</v>
      </c>
      <c r="Y80" t="s">
        <v>155</v>
      </c>
      <c r="AA80" t="str">
        <f t="shared" si="24"/>
        <v>38</v>
      </c>
      <c r="AB80" t="str">
        <f t="shared" si="25"/>
        <v>383</v>
      </c>
      <c r="AD80" t="s">
        <v>2063</v>
      </c>
      <c r="AE80" t="s">
        <v>2064</v>
      </c>
      <c r="AF80" t="str">
        <f t="shared" si="26"/>
        <v>A679071</v>
      </c>
      <c r="AG80" t="str">
        <f>VLOOKUP(AF80,AKT!$C$4:$E$324,3,FALSE)</f>
        <v>0942</v>
      </c>
    </row>
    <row r="81" spans="1:33">
      <c r="A81" s="90"/>
      <c r="B81" s="85" t="str">
        <f t="shared" si="17"/>
        <v/>
      </c>
      <c r="C81" s="90"/>
      <c r="D81" s="85" t="str">
        <f t="shared" si="18"/>
        <v/>
      </c>
      <c r="E81" s="123"/>
      <c r="F81" s="85" t="str">
        <f t="shared" si="19"/>
        <v/>
      </c>
      <c r="G81" s="85" t="str">
        <f t="shared" si="20"/>
        <v/>
      </c>
      <c r="H81" s="122"/>
      <c r="I81" s="122"/>
      <c r="J81" s="122"/>
      <c r="K81" s="135"/>
      <c r="L81" s="134"/>
      <c r="M81" s="134"/>
      <c r="N81" s="135"/>
      <c r="O81" s="266"/>
      <c r="P81" s="89"/>
      <c r="R81" t="str">
        <f t="shared" si="21"/>
        <v/>
      </c>
      <c r="S81" t="str">
        <f t="shared" si="22"/>
        <v/>
      </c>
      <c r="T81" t="str">
        <f t="shared" si="23"/>
        <v/>
      </c>
      <c r="X81">
        <v>3861</v>
      </c>
      <c r="Y81" s="133" t="s">
        <v>661</v>
      </c>
      <c r="AA81" t="str">
        <f t="shared" si="24"/>
        <v>38</v>
      </c>
      <c r="AB81" t="str">
        <f t="shared" si="25"/>
        <v>386</v>
      </c>
      <c r="AD81" t="s">
        <v>2065</v>
      </c>
      <c r="AE81" t="s">
        <v>2066</v>
      </c>
      <c r="AF81" t="str">
        <f t="shared" si="26"/>
        <v>A679071</v>
      </c>
      <c r="AG81" t="str">
        <f>VLOOKUP(AF81,AKT!$C$4:$E$324,3,FALSE)</f>
        <v>0942</v>
      </c>
    </row>
    <row r="82" spans="1:33">
      <c r="A82" s="90"/>
      <c r="B82" s="85" t="str">
        <f t="shared" si="17"/>
        <v/>
      </c>
      <c r="C82" s="90"/>
      <c r="D82" s="85" t="str">
        <f t="shared" si="18"/>
        <v/>
      </c>
      <c r="E82" s="123"/>
      <c r="F82" s="85" t="str">
        <f t="shared" si="19"/>
        <v/>
      </c>
      <c r="G82" s="85" t="str">
        <f t="shared" si="20"/>
        <v/>
      </c>
      <c r="H82" s="122"/>
      <c r="I82" s="122"/>
      <c r="J82" s="122"/>
      <c r="K82" s="135"/>
      <c r="L82" s="134"/>
      <c r="M82" s="134"/>
      <c r="N82" s="135"/>
      <c r="O82" s="266"/>
      <c r="P82" s="89"/>
      <c r="R82" t="str">
        <f t="shared" si="21"/>
        <v/>
      </c>
      <c r="S82" t="str">
        <f t="shared" si="22"/>
        <v/>
      </c>
      <c r="T82" t="str">
        <f t="shared" si="23"/>
        <v/>
      </c>
      <c r="X82">
        <v>3862</v>
      </c>
      <c r="Y82" t="s">
        <v>662</v>
      </c>
      <c r="AA82" t="str">
        <f t="shared" si="24"/>
        <v>38</v>
      </c>
      <c r="AB82" t="str">
        <f t="shared" si="25"/>
        <v>386</v>
      </c>
      <c r="AD82" t="s">
        <v>2067</v>
      </c>
      <c r="AE82" t="s">
        <v>2068</v>
      </c>
      <c r="AF82" t="str">
        <f t="shared" si="26"/>
        <v>A679071</v>
      </c>
      <c r="AG82" t="str">
        <f>VLOOKUP(AF82,AKT!$C$4:$E$324,3,FALSE)</f>
        <v>0942</v>
      </c>
    </row>
    <row r="83" spans="1:33">
      <c r="A83" s="90"/>
      <c r="B83" s="85" t="str">
        <f t="shared" si="17"/>
        <v/>
      </c>
      <c r="C83" s="90"/>
      <c r="D83" s="85" t="str">
        <f t="shared" si="18"/>
        <v/>
      </c>
      <c r="E83" s="123"/>
      <c r="F83" s="85" t="str">
        <f t="shared" si="19"/>
        <v/>
      </c>
      <c r="G83" s="85" t="str">
        <f t="shared" si="20"/>
        <v/>
      </c>
      <c r="H83" s="122"/>
      <c r="I83" s="122"/>
      <c r="J83" s="122"/>
      <c r="K83" s="135"/>
      <c r="L83" s="134"/>
      <c r="M83" s="134"/>
      <c r="N83" s="135"/>
      <c r="O83" s="266"/>
      <c r="P83" s="89"/>
      <c r="R83" t="str">
        <f t="shared" si="21"/>
        <v/>
      </c>
      <c r="S83" t="str">
        <f t="shared" si="22"/>
        <v/>
      </c>
      <c r="T83" t="str">
        <f t="shared" si="23"/>
        <v/>
      </c>
      <c r="X83">
        <v>3863</v>
      </c>
      <c r="Y83" t="s">
        <v>663</v>
      </c>
      <c r="AA83" t="str">
        <f t="shared" si="24"/>
        <v>38</v>
      </c>
      <c r="AB83" t="str">
        <f t="shared" si="25"/>
        <v>386</v>
      </c>
      <c r="AD83" t="s">
        <v>2069</v>
      </c>
      <c r="AE83" t="s">
        <v>2070</v>
      </c>
      <c r="AF83" t="str">
        <f t="shared" si="26"/>
        <v>A679071</v>
      </c>
      <c r="AG83" t="str">
        <f>VLOOKUP(AF83,AKT!$C$4:$E$324,3,FALSE)</f>
        <v>0942</v>
      </c>
    </row>
    <row r="84" spans="1:33">
      <c r="A84" s="90"/>
      <c r="B84" s="85" t="str">
        <f t="shared" si="17"/>
        <v/>
      </c>
      <c r="C84" s="90"/>
      <c r="D84" s="85" t="str">
        <f t="shared" si="18"/>
        <v/>
      </c>
      <c r="E84" s="123"/>
      <c r="F84" s="85" t="str">
        <f t="shared" si="19"/>
        <v/>
      </c>
      <c r="G84" s="85" t="str">
        <f t="shared" si="20"/>
        <v/>
      </c>
      <c r="H84" s="122"/>
      <c r="I84" s="122"/>
      <c r="J84" s="122"/>
      <c r="K84" s="135"/>
      <c r="L84" s="134"/>
      <c r="M84" s="134"/>
      <c r="N84" s="135"/>
      <c r="O84" s="266"/>
      <c r="P84" s="89"/>
      <c r="R84" t="str">
        <f t="shared" si="21"/>
        <v/>
      </c>
      <c r="S84" t="str">
        <f t="shared" si="22"/>
        <v/>
      </c>
      <c r="T84" t="str">
        <f t="shared" si="23"/>
        <v/>
      </c>
      <c r="X84">
        <v>4111</v>
      </c>
      <c r="Y84" t="s">
        <v>156</v>
      </c>
      <c r="AA84" t="str">
        <f t="shared" si="24"/>
        <v>41</v>
      </c>
      <c r="AB84" t="str">
        <f t="shared" si="25"/>
        <v>411</v>
      </c>
      <c r="AD84" t="s">
        <v>3037</v>
      </c>
      <c r="AE84" t="s">
        <v>3038</v>
      </c>
      <c r="AF84" t="str">
        <f t="shared" si="26"/>
        <v>A679071</v>
      </c>
      <c r="AG84" t="str">
        <f>VLOOKUP(AF84,AKT!$C$4:$E$324,3,FALSE)</f>
        <v>0942</v>
      </c>
    </row>
    <row r="85" spans="1:33">
      <c r="A85" s="90"/>
      <c r="B85" s="85" t="str">
        <f t="shared" si="17"/>
        <v/>
      </c>
      <c r="C85" s="90"/>
      <c r="D85" s="85" t="str">
        <f t="shared" si="18"/>
        <v/>
      </c>
      <c r="E85" s="123"/>
      <c r="F85" s="85" t="str">
        <f t="shared" si="19"/>
        <v/>
      </c>
      <c r="G85" s="85" t="str">
        <f t="shared" si="20"/>
        <v/>
      </c>
      <c r="H85" s="122"/>
      <c r="I85" s="122"/>
      <c r="J85" s="122"/>
      <c r="K85" s="135"/>
      <c r="L85" s="134"/>
      <c r="M85" s="134"/>
      <c r="N85" s="135"/>
      <c r="O85" s="266"/>
      <c r="P85" s="89"/>
      <c r="R85" t="str">
        <f t="shared" si="21"/>
        <v/>
      </c>
      <c r="S85" t="str">
        <f t="shared" si="22"/>
        <v/>
      </c>
      <c r="T85" t="str">
        <f t="shared" si="23"/>
        <v/>
      </c>
      <c r="X85">
        <v>4113</v>
      </c>
      <c r="Y85" t="s">
        <v>190</v>
      </c>
      <c r="AA85" t="str">
        <f t="shared" si="24"/>
        <v>41</v>
      </c>
      <c r="AB85" t="str">
        <f t="shared" si="25"/>
        <v>411</v>
      </c>
      <c r="AD85" t="s">
        <v>3039</v>
      </c>
      <c r="AE85" t="s">
        <v>3040</v>
      </c>
      <c r="AF85" t="str">
        <f t="shared" si="26"/>
        <v>A679071</v>
      </c>
      <c r="AG85" t="str">
        <f>VLOOKUP(AF85,AKT!$C$4:$E$324,3,FALSE)</f>
        <v>0942</v>
      </c>
    </row>
    <row r="86" spans="1:33">
      <c r="A86" s="90"/>
      <c r="B86" s="85" t="str">
        <f t="shared" si="17"/>
        <v/>
      </c>
      <c r="C86" s="90"/>
      <c r="D86" s="85" t="str">
        <f t="shared" si="18"/>
        <v/>
      </c>
      <c r="E86" s="123"/>
      <c r="F86" s="85" t="str">
        <f t="shared" si="19"/>
        <v/>
      </c>
      <c r="G86" s="85" t="str">
        <f t="shared" si="20"/>
        <v/>
      </c>
      <c r="H86" s="122"/>
      <c r="I86" s="122"/>
      <c r="J86" s="122"/>
      <c r="K86" s="135"/>
      <c r="L86" s="134"/>
      <c r="M86" s="134"/>
      <c r="N86" s="135"/>
      <c r="O86" s="266"/>
      <c r="P86" s="89"/>
      <c r="R86" t="str">
        <f t="shared" si="21"/>
        <v/>
      </c>
      <c r="S86" t="str">
        <f t="shared" si="22"/>
        <v/>
      </c>
      <c r="T86" t="str">
        <f t="shared" si="23"/>
        <v/>
      </c>
      <c r="X86">
        <v>4122</v>
      </c>
      <c r="Y86" t="s">
        <v>157</v>
      </c>
      <c r="AA86" t="str">
        <f t="shared" si="24"/>
        <v>41</v>
      </c>
      <c r="AB86" t="str">
        <f t="shared" si="25"/>
        <v>412</v>
      </c>
      <c r="AD86" t="s">
        <v>3041</v>
      </c>
      <c r="AE86" t="s">
        <v>3042</v>
      </c>
      <c r="AF86" t="str">
        <f t="shared" si="26"/>
        <v>A679071</v>
      </c>
      <c r="AG86" t="str">
        <f>VLOOKUP(AF86,AKT!$C$4:$E$324,3,FALSE)</f>
        <v>0942</v>
      </c>
    </row>
    <row r="87" spans="1:33">
      <c r="A87" s="90"/>
      <c r="B87" s="85" t="str">
        <f t="shared" si="17"/>
        <v/>
      </c>
      <c r="C87" s="90"/>
      <c r="D87" s="85" t="str">
        <f t="shared" si="18"/>
        <v/>
      </c>
      <c r="E87" s="123"/>
      <c r="F87" s="85" t="str">
        <f t="shared" si="19"/>
        <v/>
      </c>
      <c r="G87" s="85" t="str">
        <f t="shared" si="20"/>
        <v/>
      </c>
      <c r="H87" s="122"/>
      <c r="I87" s="122"/>
      <c r="J87" s="122"/>
      <c r="K87" s="135"/>
      <c r="L87" s="134"/>
      <c r="M87" s="134"/>
      <c r="N87" s="135"/>
      <c r="O87" s="266"/>
      <c r="P87" s="89"/>
      <c r="R87" t="str">
        <f t="shared" si="21"/>
        <v/>
      </c>
      <c r="S87" t="str">
        <f t="shared" si="22"/>
        <v/>
      </c>
      <c r="T87" t="str">
        <f t="shared" si="23"/>
        <v/>
      </c>
      <c r="X87">
        <v>4123</v>
      </c>
      <c r="Y87" t="s">
        <v>128</v>
      </c>
      <c r="AA87" t="str">
        <f t="shared" si="24"/>
        <v>41</v>
      </c>
      <c r="AB87" t="str">
        <f t="shared" si="25"/>
        <v>412</v>
      </c>
      <c r="AD87" t="s">
        <v>3043</v>
      </c>
      <c r="AE87" t="s">
        <v>3044</v>
      </c>
      <c r="AF87" t="str">
        <f t="shared" si="26"/>
        <v>A679071</v>
      </c>
      <c r="AG87" t="str">
        <f>VLOOKUP(AF87,AKT!$C$4:$E$324,3,FALSE)</f>
        <v>0942</v>
      </c>
    </row>
    <row r="88" spans="1:33">
      <c r="A88" s="90"/>
      <c r="B88" s="85" t="str">
        <f t="shared" si="17"/>
        <v/>
      </c>
      <c r="C88" s="90"/>
      <c r="D88" s="85" t="str">
        <f t="shared" si="18"/>
        <v/>
      </c>
      <c r="E88" s="123"/>
      <c r="F88" s="85" t="str">
        <f t="shared" si="19"/>
        <v/>
      </c>
      <c r="G88" s="85" t="str">
        <f t="shared" si="20"/>
        <v/>
      </c>
      <c r="H88" s="122"/>
      <c r="I88" s="122"/>
      <c r="J88" s="122"/>
      <c r="K88" s="135"/>
      <c r="L88" s="134"/>
      <c r="M88" s="134"/>
      <c r="N88" s="135"/>
      <c r="O88" s="266"/>
      <c r="P88" s="89"/>
      <c r="R88" t="str">
        <f t="shared" si="21"/>
        <v/>
      </c>
      <c r="S88" t="str">
        <f t="shared" si="22"/>
        <v/>
      </c>
      <c r="T88" t="str">
        <f t="shared" si="23"/>
        <v/>
      </c>
      <c r="X88">
        <v>4124</v>
      </c>
      <c r="Y88" t="s">
        <v>114</v>
      </c>
      <c r="AA88" t="str">
        <f t="shared" si="24"/>
        <v>41</v>
      </c>
      <c r="AB88" t="str">
        <f t="shared" si="25"/>
        <v>412</v>
      </c>
      <c r="AD88" t="s">
        <v>3045</v>
      </c>
      <c r="AE88" t="s">
        <v>3046</v>
      </c>
      <c r="AF88" t="str">
        <f t="shared" si="26"/>
        <v>A679071</v>
      </c>
      <c r="AG88" t="str">
        <f>VLOOKUP(AF88,AKT!$C$4:$E$324,3,FALSE)</f>
        <v>0942</v>
      </c>
    </row>
    <row r="89" spans="1:33">
      <c r="A89" s="90"/>
      <c r="B89" s="85" t="str">
        <f t="shared" si="17"/>
        <v/>
      </c>
      <c r="C89" s="90"/>
      <c r="D89" s="85" t="str">
        <f t="shared" si="18"/>
        <v/>
      </c>
      <c r="E89" s="123"/>
      <c r="F89" s="85" t="str">
        <f t="shared" si="19"/>
        <v/>
      </c>
      <c r="G89" s="85" t="str">
        <f t="shared" si="20"/>
        <v/>
      </c>
      <c r="H89" s="122"/>
      <c r="I89" s="122"/>
      <c r="J89" s="122"/>
      <c r="K89" s="135"/>
      <c r="L89" s="134"/>
      <c r="M89" s="134"/>
      <c r="N89" s="135"/>
      <c r="O89" s="266"/>
      <c r="P89" s="89"/>
      <c r="R89" t="str">
        <f t="shared" si="21"/>
        <v/>
      </c>
      <c r="S89" t="str">
        <f t="shared" si="22"/>
        <v/>
      </c>
      <c r="T89" t="str">
        <f t="shared" si="23"/>
        <v/>
      </c>
      <c r="X89">
        <v>4126</v>
      </c>
      <c r="Y89" t="s">
        <v>158</v>
      </c>
      <c r="AA89" t="str">
        <f t="shared" si="24"/>
        <v>41</v>
      </c>
      <c r="AB89" t="str">
        <f t="shared" si="25"/>
        <v>412</v>
      </c>
      <c r="AD89" t="s">
        <v>3047</v>
      </c>
      <c r="AE89" t="s">
        <v>3048</v>
      </c>
      <c r="AF89" t="str">
        <f t="shared" si="26"/>
        <v>A679071</v>
      </c>
      <c r="AG89" t="str">
        <f>VLOOKUP(AF89,AKT!$C$4:$E$324,3,FALSE)</f>
        <v>0942</v>
      </c>
    </row>
    <row r="90" spans="1:33">
      <c r="A90" s="90"/>
      <c r="B90" s="85" t="str">
        <f t="shared" si="17"/>
        <v/>
      </c>
      <c r="C90" s="90"/>
      <c r="D90" s="85" t="str">
        <f t="shared" si="18"/>
        <v/>
      </c>
      <c r="E90" s="123"/>
      <c r="F90" s="85" t="str">
        <f t="shared" si="19"/>
        <v/>
      </c>
      <c r="G90" s="85" t="str">
        <f t="shared" si="20"/>
        <v/>
      </c>
      <c r="H90" s="122"/>
      <c r="I90" s="122"/>
      <c r="J90" s="122"/>
      <c r="K90" s="135"/>
      <c r="L90" s="134"/>
      <c r="M90" s="134"/>
      <c r="N90" s="135"/>
      <c r="O90" s="266"/>
      <c r="P90" s="89"/>
      <c r="R90" t="str">
        <f t="shared" si="21"/>
        <v/>
      </c>
      <c r="S90" t="str">
        <f t="shared" si="22"/>
        <v/>
      </c>
      <c r="T90" t="str">
        <f t="shared" si="23"/>
        <v/>
      </c>
      <c r="X90">
        <v>4211</v>
      </c>
      <c r="Y90" t="s">
        <v>172</v>
      </c>
      <c r="AA90" t="str">
        <f t="shared" si="24"/>
        <v>42</v>
      </c>
      <c r="AB90" t="str">
        <f t="shared" si="25"/>
        <v>421</v>
      </c>
      <c r="AD90" t="s">
        <v>3049</v>
      </c>
      <c r="AE90" t="s">
        <v>3050</v>
      </c>
      <c r="AF90" t="str">
        <f t="shared" si="26"/>
        <v>A679071</v>
      </c>
      <c r="AG90" t="str">
        <f>VLOOKUP(AF90,AKT!$C$4:$E$324,3,FALSE)</f>
        <v>0942</v>
      </c>
    </row>
    <row r="91" spans="1:33">
      <c r="A91" s="90"/>
      <c r="B91" s="85" t="str">
        <f t="shared" si="17"/>
        <v/>
      </c>
      <c r="C91" s="90"/>
      <c r="D91" s="85" t="str">
        <f t="shared" si="18"/>
        <v/>
      </c>
      <c r="E91" s="123"/>
      <c r="F91" s="85" t="str">
        <f t="shared" si="19"/>
        <v/>
      </c>
      <c r="G91" s="85" t="str">
        <f t="shared" si="20"/>
        <v/>
      </c>
      <c r="H91" s="122"/>
      <c r="I91" s="122"/>
      <c r="J91" s="122"/>
      <c r="K91" s="135"/>
      <c r="L91" s="134"/>
      <c r="M91" s="134"/>
      <c r="N91" s="135"/>
      <c r="O91" s="266"/>
      <c r="P91" s="89"/>
      <c r="R91" t="str">
        <f t="shared" si="21"/>
        <v/>
      </c>
      <c r="S91" t="str">
        <f t="shared" si="22"/>
        <v/>
      </c>
      <c r="T91" t="str">
        <f t="shared" si="23"/>
        <v/>
      </c>
      <c r="X91">
        <v>4212</v>
      </c>
      <c r="Y91" t="s">
        <v>60</v>
      </c>
      <c r="AA91" t="str">
        <f t="shared" si="24"/>
        <v>42</v>
      </c>
      <c r="AB91" t="str">
        <f t="shared" si="25"/>
        <v>421</v>
      </c>
      <c r="AD91" t="s">
        <v>3051</v>
      </c>
      <c r="AE91" t="s">
        <v>3052</v>
      </c>
      <c r="AF91" t="str">
        <f t="shared" si="26"/>
        <v>A679071</v>
      </c>
      <c r="AG91" t="str">
        <f>VLOOKUP(AF91,AKT!$C$4:$E$324,3,FALSE)</f>
        <v>0942</v>
      </c>
    </row>
    <row r="92" spans="1:33">
      <c r="A92" s="90"/>
      <c r="B92" s="85" t="str">
        <f t="shared" si="17"/>
        <v/>
      </c>
      <c r="C92" s="90"/>
      <c r="D92" s="85" t="str">
        <f t="shared" si="18"/>
        <v/>
      </c>
      <c r="E92" s="123"/>
      <c r="F92" s="85" t="str">
        <f t="shared" si="19"/>
        <v/>
      </c>
      <c r="G92" s="85" t="str">
        <f t="shared" si="20"/>
        <v/>
      </c>
      <c r="H92" s="122"/>
      <c r="I92" s="122"/>
      <c r="J92" s="122"/>
      <c r="K92" s="135"/>
      <c r="L92" s="134"/>
      <c r="M92" s="134"/>
      <c r="N92" s="135"/>
      <c r="O92" s="266"/>
      <c r="P92" s="89"/>
      <c r="R92" t="str">
        <f t="shared" si="21"/>
        <v/>
      </c>
      <c r="S92" t="str">
        <f t="shared" si="22"/>
        <v/>
      </c>
      <c r="T92" t="str">
        <f t="shared" si="23"/>
        <v/>
      </c>
      <c r="X92">
        <v>4213</v>
      </c>
      <c r="Y92" t="s">
        <v>159</v>
      </c>
      <c r="AA92" t="str">
        <f t="shared" si="24"/>
        <v>42</v>
      </c>
      <c r="AB92" t="str">
        <f t="shared" si="25"/>
        <v>421</v>
      </c>
      <c r="AD92" t="s">
        <v>3053</v>
      </c>
      <c r="AE92" t="s">
        <v>1172</v>
      </c>
      <c r="AF92" t="str">
        <f t="shared" si="26"/>
        <v>A679071</v>
      </c>
      <c r="AG92" t="str">
        <f>VLOOKUP(AF92,AKT!$C$4:$E$324,3,FALSE)</f>
        <v>0942</v>
      </c>
    </row>
    <row r="93" spans="1:33">
      <c r="A93" s="90"/>
      <c r="B93" s="85" t="str">
        <f t="shared" si="17"/>
        <v/>
      </c>
      <c r="C93" s="90"/>
      <c r="D93" s="85" t="str">
        <f t="shared" si="18"/>
        <v/>
      </c>
      <c r="E93" s="123"/>
      <c r="F93" s="85" t="str">
        <f t="shared" si="19"/>
        <v/>
      </c>
      <c r="G93" s="85" t="str">
        <f t="shared" si="20"/>
        <v/>
      </c>
      <c r="H93" s="122"/>
      <c r="I93" s="122"/>
      <c r="J93" s="122"/>
      <c r="K93" s="135"/>
      <c r="L93" s="134"/>
      <c r="M93" s="134"/>
      <c r="N93" s="135"/>
      <c r="O93" s="266"/>
      <c r="P93" s="89"/>
      <c r="R93" t="str">
        <f t="shared" si="21"/>
        <v/>
      </c>
      <c r="S93" t="str">
        <f t="shared" si="22"/>
        <v/>
      </c>
      <c r="T93" t="str">
        <f t="shared" si="23"/>
        <v/>
      </c>
      <c r="X93">
        <v>4214</v>
      </c>
      <c r="Y93" t="s">
        <v>160</v>
      </c>
      <c r="AA93" t="str">
        <f t="shared" si="24"/>
        <v>42</v>
      </c>
      <c r="AB93" t="str">
        <f t="shared" si="25"/>
        <v>421</v>
      </c>
      <c r="AD93" t="s">
        <v>712</v>
      </c>
      <c r="AE93" t="s">
        <v>713</v>
      </c>
      <c r="AF93" t="str">
        <f t="shared" si="26"/>
        <v>A679072</v>
      </c>
      <c r="AG93" t="str">
        <f>VLOOKUP(AF93,AKT!$C$4:$E$324,3,FALSE)</f>
        <v>0942</v>
      </c>
    </row>
    <row r="94" spans="1:33">
      <c r="A94" s="90"/>
      <c r="B94" s="85" t="str">
        <f t="shared" si="17"/>
        <v/>
      </c>
      <c r="C94" s="90"/>
      <c r="D94" s="85" t="str">
        <f t="shared" si="18"/>
        <v/>
      </c>
      <c r="E94" s="123"/>
      <c r="F94" s="85" t="str">
        <f t="shared" si="19"/>
        <v/>
      </c>
      <c r="G94" s="85" t="str">
        <f t="shared" si="20"/>
        <v/>
      </c>
      <c r="H94" s="122"/>
      <c r="I94" s="122"/>
      <c r="J94" s="122"/>
      <c r="K94" s="135"/>
      <c r="L94" s="134"/>
      <c r="M94" s="134"/>
      <c r="N94" s="135"/>
      <c r="O94" s="266"/>
      <c r="P94" s="89"/>
      <c r="R94" t="str">
        <f t="shared" si="21"/>
        <v/>
      </c>
      <c r="S94" t="str">
        <f t="shared" si="22"/>
        <v/>
      </c>
      <c r="T94" t="str">
        <f t="shared" si="23"/>
        <v/>
      </c>
      <c r="X94">
        <v>4221</v>
      </c>
      <c r="Y94" t="s">
        <v>95</v>
      </c>
      <c r="AA94" t="str">
        <f t="shared" si="24"/>
        <v>42</v>
      </c>
      <c r="AB94" t="str">
        <f t="shared" si="25"/>
        <v>422</v>
      </c>
      <c r="AD94" t="s">
        <v>714</v>
      </c>
      <c r="AE94" t="s">
        <v>715</v>
      </c>
      <c r="AF94" t="str">
        <f t="shared" si="26"/>
        <v>A679072</v>
      </c>
      <c r="AG94" t="str">
        <f>VLOOKUP(AF94,AKT!$C$4:$E$324,3,FALSE)</f>
        <v>0942</v>
      </c>
    </row>
    <row r="95" spans="1:33">
      <c r="A95" s="90"/>
      <c r="B95" s="85" t="str">
        <f t="shared" si="17"/>
        <v/>
      </c>
      <c r="C95" s="90"/>
      <c r="D95" s="85" t="str">
        <f t="shared" si="18"/>
        <v/>
      </c>
      <c r="E95" s="123"/>
      <c r="F95" s="85" t="str">
        <f t="shared" si="19"/>
        <v/>
      </c>
      <c r="G95" s="85" t="str">
        <f t="shared" si="20"/>
        <v/>
      </c>
      <c r="H95" s="122"/>
      <c r="I95" s="122"/>
      <c r="J95" s="122"/>
      <c r="K95" s="135"/>
      <c r="L95" s="134"/>
      <c r="M95" s="134"/>
      <c r="N95" s="135"/>
      <c r="O95" s="266"/>
      <c r="P95" s="89"/>
      <c r="R95" t="str">
        <f t="shared" si="21"/>
        <v/>
      </c>
      <c r="S95" t="str">
        <f t="shared" si="22"/>
        <v/>
      </c>
      <c r="T95" t="str">
        <f t="shared" si="23"/>
        <v/>
      </c>
      <c r="X95">
        <v>4222</v>
      </c>
      <c r="Y95" t="s">
        <v>106</v>
      </c>
      <c r="AA95" t="str">
        <f t="shared" si="24"/>
        <v>42</v>
      </c>
      <c r="AB95" t="str">
        <f t="shared" si="25"/>
        <v>422</v>
      </c>
      <c r="AD95" t="s">
        <v>3054</v>
      </c>
      <c r="AE95" t="s">
        <v>3055</v>
      </c>
      <c r="AF95" t="str">
        <f t="shared" si="26"/>
        <v>A679072</v>
      </c>
      <c r="AG95" t="str">
        <f>VLOOKUP(AF95,AKT!$C$4:$E$324,3,FALSE)</f>
        <v>0942</v>
      </c>
    </row>
    <row r="96" spans="1:33">
      <c r="A96" s="90"/>
      <c r="B96" s="85" t="str">
        <f t="shared" si="17"/>
        <v/>
      </c>
      <c r="C96" s="90"/>
      <c r="D96" s="85" t="str">
        <f t="shared" si="18"/>
        <v/>
      </c>
      <c r="E96" s="123"/>
      <c r="F96" s="85" t="str">
        <f t="shared" si="19"/>
        <v/>
      </c>
      <c r="G96" s="85" t="str">
        <f t="shared" si="20"/>
        <v/>
      </c>
      <c r="H96" s="122"/>
      <c r="I96" s="122"/>
      <c r="J96" s="122"/>
      <c r="K96" s="135"/>
      <c r="L96" s="134"/>
      <c r="M96" s="134"/>
      <c r="N96" s="135"/>
      <c r="O96" s="266"/>
      <c r="P96" s="89"/>
      <c r="R96" t="str">
        <f t="shared" si="21"/>
        <v/>
      </c>
      <c r="S96" t="str">
        <f t="shared" si="22"/>
        <v/>
      </c>
      <c r="T96" t="str">
        <f t="shared" si="23"/>
        <v/>
      </c>
      <c r="X96">
        <v>4223</v>
      </c>
      <c r="Y96" t="s">
        <v>119</v>
      </c>
      <c r="AA96" t="str">
        <f t="shared" si="24"/>
        <v>42</v>
      </c>
      <c r="AB96" t="str">
        <f t="shared" si="25"/>
        <v>422</v>
      </c>
      <c r="AD96" t="s">
        <v>3056</v>
      </c>
      <c r="AE96" t="s">
        <v>3057</v>
      </c>
      <c r="AF96" t="str">
        <f t="shared" si="26"/>
        <v>A679072</v>
      </c>
      <c r="AG96" t="str">
        <f>VLOOKUP(AF96,AKT!$C$4:$E$324,3,FALSE)</f>
        <v>0942</v>
      </c>
    </row>
    <row r="97" spans="1:33">
      <c r="A97" s="90"/>
      <c r="B97" s="85" t="str">
        <f t="shared" si="17"/>
        <v/>
      </c>
      <c r="C97" s="90"/>
      <c r="D97" s="85" t="str">
        <f t="shared" si="18"/>
        <v/>
      </c>
      <c r="E97" s="123"/>
      <c r="F97" s="85" t="str">
        <f t="shared" si="19"/>
        <v/>
      </c>
      <c r="G97" s="85" t="str">
        <f t="shared" si="20"/>
        <v/>
      </c>
      <c r="H97" s="122"/>
      <c r="I97" s="122"/>
      <c r="J97" s="122"/>
      <c r="K97" s="135"/>
      <c r="L97" s="134"/>
      <c r="M97" s="134"/>
      <c r="N97" s="135"/>
      <c r="O97" s="266"/>
      <c r="P97" s="89"/>
      <c r="R97" t="str">
        <f t="shared" si="21"/>
        <v/>
      </c>
      <c r="S97" t="str">
        <f t="shared" si="22"/>
        <v/>
      </c>
      <c r="T97" t="str">
        <f t="shared" si="23"/>
        <v/>
      </c>
      <c r="X97">
        <v>4224</v>
      </c>
      <c r="Y97" t="s">
        <v>112</v>
      </c>
      <c r="AA97" t="str">
        <f t="shared" si="24"/>
        <v>42</v>
      </c>
      <c r="AB97" t="str">
        <f t="shared" si="25"/>
        <v>422</v>
      </c>
      <c r="AD97" t="s">
        <v>3058</v>
      </c>
      <c r="AE97" t="s">
        <v>3059</v>
      </c>
      <c r="AF97" t="str">
        <f t="shared" si="26"/>
        <v>A679072</v>
      </c>
      <c r="AG97" t="str">
        <f>VLOOKUP(AF97,AKT!$C$4:$E$324,3,FALSE)</f>
        <v>0942</v>
      </c>
    </row>
    <row r="98" spans="1:33">
      <c r="A98" s="90"/>
      <c r="B98" s="85" t="str">
        <f t="shared" si="17"/>
        <v/>
      </c>
      <c r="C98" s="90"/>
      <c r="D98" s="85" t="str">
        <f t="shared" si="18"/>
        <v/>
      </c>
      <c r="E98" s="123"/>
      <c r="F98" s="85" t="str">
        <f t="shared" si="19"/>
        <v/>
      </c>
      <c r="G98" s="85" t="str">
        <f t="shared" si="20"/>
        <v/>
      </c>
      <c r="H98" s="122"/>
      <c r="I98" s="122"/>
      <c r="J98" s="122"/>
      <c r="K98" s="135"/>
      <c r="L98" s="134"/>
      <c r="M98" s="134"/>
      <c r="N98" s="135"/>
      <c r="O98" s="266"/>
      <c r="P98" s="89"/>
      <c r="R98" t="str">
        <f t="shared" si="21"/>
        <v/>
      </c>
      <c r="S98" t="str">
        <f t="shared" si="22"/>
        <v/>
      </c>
      <c r="T98" t="str">
        <f t="shared" si="23"/>
        <v/>
      </c>
      <c r="X98">
        <v>4225</v>
      </c>
      <c r="Y98" t="s">
        <v>116</v>
      </c>
      <c r="AA98" t="str">
        <f t="shared" si="24"/>
        <v>42</v>
      </c>
      <c r="AB98" t="str">
        <f t="shared" si="25"/>
        <v>422</v>
      </c>
      <c r="AD98" t="s">
        <v>3060</v>
      </c>
      <c r="AE98" t="s">
        <v>3061</v>
      </c>
      <c r="AF98" t="str">
        <f t="shared" si="26"/>
        <v>A679072</v>
      </c>
      <c r="AG98" t="str">
        <f>VLOOKUP(AF98,AKT!$C$4:$E$324,3,FALSE)</f>
        <v>0942</v>
      </c>
    </row>
    <row r="99" spans="1:33">
      <c r="A99" s="90"/>
      <c r="B99" s="85" t="str">
        <f t="shared" si="17"/>
        <v/>
      </c>
      <c r="C99" s="90"/>
      <c r="D99" s="85" t="str">
        <f t="shared" si="18"/>
        <v/>
      </c>
      <c r="E99" s="123"/>
      <c r="F99" s="85" t="str">
        <f t="shared" si="19"/>
        <v/>
      </c>
      <c r="G99" s="85" t="str">
        <f t="shared" si="20"/>
        <v/>
      </c>
      <c r="H99" s="122"/>
      <c r="I99" s="122"/>
      <c r="J99" s="122"/>
      <c r="K99" s="135"/>
      <c r="L99" s="134"/>
      <c r="M99" s="134"/>
      <c r="N99" s="135"/>
      <c r="O99" s="266"/>
      <c r="P99" s="89"/>
      <c r="R99" t="str">
        <f t="shared" si="21"/>
        <v/>
      </c>
      <c r="S99" t="str">
        <f t="shared" si="22"/>
        <v/>
      </c>
      <c r="T99" t="str">
        <f t="shared" si="23"/>
        <v/>
      </c>
      <c r="X99">
        <v>4226</v>
      </c>
      <c r="Y99" t="s">
        <v>161</v>
      </c>
      <c r="AA99" t="str">
        <f t="shared" si="24"/>
        <v>42</v>
      </c>
      <c r="AB99" t="str">
        <f t="shared" si="25"/>
        <v>422</v>
      </c>
      <c r="AD99" t="s">
        <v>716</v>
      </c>
      <c r="AE99" t="s">
        <v>717</v>
      </c>
      <c r="AF99" t="str">
        <f t="shared" si="26"/>
        <v>A679072</v>
      </c>
      <c r="AG99" t="str">
        <f>VLOOKUP(AF99,AKT!$C$4:$E$324,3,FALSE)</f>
        <v>0942</v>
      </c>
    </row>
    <row r="100" spans="1:33">
      <c r="A100" s="90"/>
      <c r="B100" s="85" t="str">
        <f t="shared" si="17"/>
        <v/>
      </c>
      <c r="C100" s="90"/>
      <c r="D100" s="85" t="str">
        <f t="shared" si="18"/>
        <v/>
      </c>
      <c r="E100" s="123"/>
      <c r="F100" s="85" t="str">
        <f t="shared" si="19"/>
        <v/>
      </c>
      <c r="G100" s="85" t="str">
        <f t="shared" si="20"/>
        <v/>
      </c>
      <c r="H100" s="122"/>
      <c r="I100" s="122"/>
      <c r="J100" s="122"/>
      <c r="K100" s="135"/>
      <c r="L100" s="134"/>
      <c r="M100" s="134"/>
      <c r="N100" s="135"/>
      <c r="O100" s="266"/>
      <c r="P100" s="89"/>
      <c r="R100" t="str">
        <f t="shared" si="21"/>
        <v/>
      </c>
      <c r="S100" t="str">
        <f t="shared" si="22"/>
        <v/>
      </c>
      <c r="T100" t="str">
        <f t="shared" si="23"/>
        <v/>
      </c>
      <c r="X100">
        <v>4227</v>
      </c>
      <c r="Y100" t="s">
        <v>129</v>
      </c>
      <c r="AA100" t="str">
        <f t="shared" si="24"/>
        <v>42</v>
      </c>
      <c r="AB100" t="str">
        <f t="shared" si="25"/>
        <v>422</v>
      </c>
      <c r="AD100" t="s">
        <v>718</v>
      </c>
      <c r="AE100" t="s">
        <v>719</v>
      </c>
      <c r="AF100" t="str">
        <f t="shared" si="26"/>
        <v>A679072</v>
      </c>
      <c r="AG100" t="str">
        <f>VLOOKUP(AF100,AKT!$C$4:$E$324,3,FALSE)</f>
        <v>0942</v>
      </c>
    </row>
    <row r="101" spans="1:33">
      <c r="A101" s="90"/>
      <c r="B101" s="85" t="str">
        <f t="shared" si="17"/>
        <v/>
      </c>
      <c r="C101" s="90"/>
      <c r="D101" s="85" t="str">
        <f t="shared" si="18"/>
        <v/>
      </c>
      <c r="E101" s="123"/>
      <c r="F101" s="85" t="str">
        <f t="shared" si="19"/>
        <v/>
      </c>
      <c r="G101" s="85" t="str">
        <f t="shared" si="20"/>
        <v/>
      </c>
      <c r="H101" s="122"/>
      <c r="I101" s="122"/>
      <c r="J101" s="122"/>
      <c r="K101" s="135"/>
      <c r="L101" s="134"/>
      <c r="M101" s="134"/>
      <c r="N101" s="135"/>
      <c r="O101" s="266"/>
      <c r="P101" s="89"/>
      <c r="R101" t="str">
        <f t="shared" si="21"/>
        <v/>
      </c>
      <c r="S101" t="str">
        <f t="shared" si="22"/>
        <v/>
      </c>
      <c r="T101" t="str">
        <f t="shared" si="23"/>
        <v/>
      </c>
      <c r="X101">
        <v>4231</v>
      </c>
      <c r="Y101" t="s">
        <v>162</v>
      </c>
      <c r="AA101" t="str">
        <f t="shared" si="24"/>
        <v>42</v>
      </c>
      <c r="AB101" t="str">
        <f t="shared" si="25"/>
        <v>423</v>
      </c>
      <c r="AD101" t="s">
        <v>720</v>
      </c>
      <c r="AE101" t="s">
        <v>721</v>
      </c>
      <c r="AF101" t="str">
        <f t="shared" si="26"/>
        <v>A679072</v>
      </c>
      <c r="AG101" t="str">
        <f>VLOOKUP(AF101,AKT!$C$4:$E$324,3,FALSE)</f>
        <v>0942</v>
      </c>
    </row>
    <row r="102" spans="1:33">
      <c r="A102" s="90"/>
      <c r="B102" s="85" t="str">
        <f t="shared" si="17"/>
        <v/>
      </c>
      <c r="C102" s="90"/>
      <c r="D102" s="85" t="str">
        <f t="shared" si="18"/>
        <v/>
      </c>
      <c r="E102" s="123"/>
      <c r="F102" s="85" t="str">
        <f t="shared" si="19"/>
        <v/>
      </c>
      <c r="G102" s="85" t="str">
        <f t="shared" si="20"/>
        <v/>
      </c>
      <c r="H102" s="122"/>
      <c r="I102" s="122"/>
      <c r="J102" s="122"/>
      <c r="K102" s="135"/>
      <c r="L102" s="134"/>
      <c r="M102" s="134"/>
      <c r="N102" s="135"/>
      <c r="O102" s="266"/>
      <c r="P102" s="89"/>
      <c r="R102" t="str">
        <f t="shared" si="21"/>
        <v/>
      </c>
      <c r="S102" t="str">
        <f t="shared" si="22"/>
        <v/>
      </c>
      <c r="T102" t="str">
        <f t="shared" si="23"/>
        <v/>
      </c>
      <c r="X102">
        <v>4233</v>
      </c>
      <c r="Y102" t="s">
        <v>170</v>
      </c>
      <c r="AA102" t="str">
        <f t="shared" si="24"/>
        <v>42</v>
      </c>
      <c r="AB102" t="str">
        <f t="shared" si="25"/>
        <v>423</v>
      </c>
      <c r="AD102" t="s">
        <v>722</v>
      </c>
      <c r="AE102" t="s">
        <v>723</v>
      </c>
      <c r="AF102" t="str">
        <f t="shared" si="26"/>
        <v>A679072</v>
      </c>
      <c r="AG102" t="str">
        <f>VLOOKUP(AF102,AKT!$C$4:$E$324,3,FALSE)</f>
        <v>0942</v>
      </c>
    </row>
    <row r="103" spans="1:33">
      <c r="A103" s="90"/>
      <c r="B103" s="85" t="str">
        <f t="shared" si="17"/>
        <v/>
      </c>
      <c r="C103" s="90"/>
      <c r="D103" s="85" t="str">
        <f t="shared" si="18"/>
        <v/>
      </c>
      <c r="E103" s="123"/>
      <c r="F103" s="85" t="str">
        <f t="shared" si="19"/>
        <v/>
      </c>
      <c r="G103" s="85" t="str">
        <f t="shared" si="20"/>
        <v/>
      </c>
      <c r="H103" s="122"/>
      <c r="I103" s="122"/>
      <c r="J103" s="122"/>
      <c r="K103" s="135"/>
      <c r="L103" s="134"/>
      <c r="M103" s="134"/>
      <c r="N103" s="135"/>
      <c r="O103" s="266"/>
      <c r="P103" s="89"/>
      <c r="R103" t="str">
        <f t="shared" si="21"/>
        <v/>
      </c>
      <c r="S103" t="str">
        <f t="shared" si="22"/>
        <v/>
      </c>
      <c r="T103" t="str">
        <f t="shared" si="23"/>
        <v/>
      </c>
      <c r="X103">
        <v>4241</v>
      </c>
      <c r="Y103" t="s">
        <v>107</v>
      </c>
      <c r="AA103" t="str">
        <f t="shared" si="24"/>
        <v>42</v>
      </c>
      <c r="AB103" t="str">
        <f t="shared" si="25"/>
        <v>424</v>
      </c>
      <c r="AD103" t="s">
        <v>724</v>
      </c>
      <c r="AE103" t="s">
        <v>725</v>
      </c>
      <c r="AF103" t="str">
        <f t="shared" si="26"/>
        <v>A679072</v>
      </c>
      <c r="AG103" t="str">
        <f>VLOOKUP(AF103,AKT!$C$4:$E$324,3,FALSE)</f>
        <v>0942</v>
      </c>
    </row>
    <row r="104" spans="1:33">
      <c r="A104" s="90"/>
      <c r="B104" s="85" t="str">
        <f t="shared" si="17"/>
        <v/>
      </c>
      <c r="C104" s="90"/>
      <c r="D104" s="85" t="str">
        <f t="shared" si="18"/>
        <v/>
      </c>
      <c r="E104" s="123"/>
      <c r="F104" s="85" t="str">
        <f t="shared" si="19"/>
        <v/>
      </c>
      <c r="G104" s="85" t="str">
        <f t="shared" si="20"/>
        <v/>
      </c>
      <c r="H104" s="122"/>
      <c r="I104" s="122"/>
      <c r="J104" s="122"/>
      <c r="K104" s="135"/>
      <c r="L104" s="134"/>
      <c r="M104" s="134"/>
      <c r="N104" s="135"/>
      <c r="O104" s="266"/>
      <c r="P104" s="89"/>
      <c r="R104" t="str">
        <f t="shared" si="21"/>
        <v/>
      </c>
      <c r="S104" t="str">
        <f t="shared" si="22"/>
        <v/>
      </c>
      <c r="T104" t="str">
        <f t="shared" si="23"/>
        <v/>
      </c>
      <c r="X104">
        <v>4242</v>
      </c>
      <c r="Y104" t="s">
        <v>139</v>
      </c>
      <c r="AA104" t="str">
        <f t="shared" si="24"/>
        <v>42</v>
      </c>
      <c r="AB104" t="str">
        <f t="shared" si="25"/>
        <v>424</v>
      </c>
      <c r="AD104" t="s">
        <v>726</v>
      </c>
      <c r="AE104" t="s">
        <v>727</v>
      </c>
      <c r="AF104" t="str">
        <f t="shared" si="26"/>
        <v>A679072</v>
      </c>
      <c r="AG104" t="str">
        <f>VLOOKUP(AF104,AKT!$C$4:$E$324,3,FALSE)</f>
        <v>0942</v>
      </c>
    </row>
    <row r="105" spans="1:33">
      <c r="A105" s="90"/>
      <c r="B105" s="85" t="str">
        <f t="shared" si="17"/>
        <v/>
      </c>
      <c r="C105" s="90"/>
      <c r="D105" s="85" t="str">
        <f t="shared" si="18"/>
        <v/>
      </c>
      <c r="E105" s="123"/>
      <c r="F105" s="85" t="str">
        <f t="shared" si="19"/>
        <v/>
      </c>
      <c r="G105" s="85" t="str">
        <f t="shared" si="20"/>
        <v/>
      </c>
      <c r="H105" s="122"/>
      <c r="I105" s="122"/>
      <c r="J105" s="122"/>
      <c r="K105" s="135"/>
      <c r="L105" s="134"/>
      <c r="M105" s="134"/>
      <c r="N105" s="135"/>
      <c r="O105" s="266"/>
      <c r="P105" s="89"/>
      <c r="R105" t="str">
        <f t="shared" si="21"/>
        <v/>
      </c>
      <c r="S105" t="str">
        <f t="shared" si="22"/>
        <v/>
      </c>
      <c r="T105" t="str">
        <f t="shared" si="23"/>
        <v/>
      </c>
      <c r="X105">
        <v>4244</v>
      </c>
      <c r="Y105" t="s">
        <v>171</v>
      </c>
      <c r="AA105" t="str">
        <f t="shared" si="24"/>
        <v>42</v>
      </c>
      <c r="AB105" t="str">
        <f t="shared" si="25"/>
        <v>424</v>
      </c>
      <c r="AD105" t="s">
        <v>728</v>
      </c>
      <c r="AE105" t="s">
        <v>729</v>
      </c>
      <c r="AF105" t="str">
        <f t="shared" si="26"/>
        <v>A679072</v>
      </c>
      <c r="AG105" t="str">
        <f>VLOOKUP(AF105,AKT!$C$4:$E$324,3,FALSE)</f>
        <v>0942</v>
      </c>
    </row>
    <row r="106" spans="1:33">
      <c r="A106" s="90"/>
      <c r="B106" s="85" t="str">
        <f t="shared" si="17"/>
        <v/>
      </c>
      <c r="C106" s="90"/>
      <c r="D106" s="85" t="str">
        <f t="shared" si="18"/>
        <v/>
      </c>
      <c r="E106" s="123"/>
      <c r="F106" s="85" t="str">
        <f t="shared" si="19"/>
        <v/>
      </c>
      <c r="G106" s="85" t="str">
        <f t="shared" si="20"/>
        <v/>
      </c>
      <c r="H106" s="122"/>
      <c r="I106" s="122"/>
      <c r="J106" s="122"/>
      <c r="K106" s="135"/>
      <c r="L106" s="134"/>
      <c r="M106" s="134"/>
      <c r="N106" s="135"/>
      <c r="O106" s="266"/>
      <c r="P106" s="89"/>
      <c r="R106" t="str">
        <f t="shared" si="21"/>
        <v/>
      </c>
      <c r="S106" t="str">
        <f t="shared" si="22"/>
        <v/>
      </c>
      <c r="T106" t="str">
        <f t="shared" si="23"/>
        <v/>
      </c>
      <c r="X106">
        <v>4251</v>
      </c>
      <c r="Y106" t="s">
        <v>163</v>
      </c>
      <c r="AA106" t="str">
        <f t="shared" si="24"/>
        <v>42</v>
      </c>
      <c r="AB106" t="str">
        <f t="shared" si="25"/>
        <v>425</v>
      </c>
      <c r="AD106" t="s">
        <v>730</v>
      </c>
      <c r="AE106" t="s">
        <v>731</v>
      </c>
      <c r="AF106" t="str">
        <f t="shared" si="26"/>
        <v>A679072</v>
      </c>
      <c r="AG106" t="str">
        <f>VLOOKUP(AF106,AKT!$C$4:$E$324,3,FALSE)</f>
        <v>0942</v>
      </c>
    </row>
    <row r="107" spans="1:33">
      <c r="A107" s="90"/>
      <c r="B107" s="85" t="str">
        <f t="shared" si="17"/>
        <v/>
      </c>
      <c r="C107" s="90"/>
      <c r="D107" s="85" t="str">
        <f t="shared" si="18"/>
        <v/>
      </c>
      <c r="E107" s="123"/>
      <c r="F107" s="85" t="str">
        <f t="shared" si="19"/>
        <v/>
      </c>
      <c r="G107" s="85" t="str">
        <f t="shared" si="20"/>
        <v/>
      </c>
      <c r="H107" s="122"/>
      <c r="I107" s="122"/>
      <c r="J107" s="122"/>
      <c r="K107" s="135"/>
      <c r="L107" s="134"/>
      <c r="M107" s="134"/>
      <c r="N107" s="135"/>
      <c r="O107" s="266"/>
      <c r="P107" s="89"/>
      <c r="R107" t="str">
        <f t="shared" si="21"/>
        <v/>
      </c>
      <c r="S107" t="str">
        <f t="shared" si="22"/>
        <v/>
      </c>
      <c r="T107" t="str">
        <f t="shared" si="23"/>
        <v/>
      </c>
      <c r="X107">
        <v>4252</v>
      </c>
      <c r="Y107" t="s">
        <v>164</v>
      </c>
      <c r="AA107" t="str">
        <f t="shared" si="24"/>
        <v>42</v>
      </c>
      <c r="AB107" t="str">
        <f t="shared" si="25"/>
        <v>425</v>
      </c>
      <c r="AD107" t="s">
        <v>732</v>
      </c>
      <c r="AE107" t="s">
        <v>733</v>
      </c>
      <c r="AF107" t="str">
        <f t="shared" si="26"/>
        <v>A679072</v>
      </c>
      <c r="AG107" t="str">
        <f>VLOOKUP(AF107,AKT!$C$4:$E$324,3,FALSE)</f>
        <v>0942</v>
      </c>
    </row>
    <row r="108" spans="1:33">
      <c r="A108" s="90"/>
      <c r="B108" s="85" t="str">
        <f t="shared" si="17"/>
        <v/>
      </c>
      <c r="C108" s="90"/>
      <c r="D108" s="85" t="str">
        <f t="shared" si="18"/>
        <v/>
      </c>
      <c r="E108" s="123"/>
      <c r="F108" s="85" t="str">
        <f t="shared" si="19"/>
        <v/>
      </c>
      <c r="G108" s="85" t="str">
        <f t="shared" si="20"/>
        <v/>
      </c>
      <c r="H108" s="122"/>
      <c r="I108" s="122"/>
      <c r="J108" s="122"/>
      <c r="K108" s="135"/>
      <c r="L108" s="134"/>
      <c r="M108" s="134"/>
      <c r="N108" s="135"/>
      <c r="O108" s="266"/>
      <c r="P108" s="89"/>
      <c r="R108" t="str">
        <f t="shared" si="21"/>
        <v/>
      </c>
      <c r="S108" t="str">
        <f t="shared" si="22"/>
        <v/>
      </c>
      <c r="T108" t="str">
        <f t="shared" si="23"/>
        <v/>
      </c>
      <c r="X108">
        <v>4262</v>
      </c>
      <c r="Y108" t="s">
        <v>108</v>
      </c>
      <c r="AA108" t="str">
        <f t="shared" si="24"/>
        <v>42</v>
      </c>
      <c r="AB108" t="str">
        <f t="shared" si="25"/>
        <v>426</v>
      </c>
      <c r="AD108" t="s">
        <v>734</v>
      </c>
      <c r="AE108" t="s">
        <v>735</v>
      </c>
      <c r="AF108" t="str">
        <f t="shared" si="26"/>
        <v>A679072</v>
      </c>
      <c r="AG108" t="str">
        <f>VLOOKUP(AF108,AKT!$C$4:$E$324,3,FALSE)</f>
        <v>0942</v>
      </c>
    </row>
    <row r="109" spans="1:33">
      <c r="A109" s="90"/>
      <c r="B109" s="85" t="str">
        <f t="shared" si="17"/>
        <v/>
      </c>
      <c r="C109" s="90"/>
      <c r="D109" s="85" t="str">
        <f t="shared" si="18"/>
        <v/>
      </c>
      <c r="E109" s="123"/>
      <c r="F109" s="85" t="str">
        <f t="shared" si="19"/>
        <v/>
      </c>
      <c r="G109" s="85" t="str">
        <f t="shared" si="20"/>
        <v/>
      </c>
      <c r="H109" s="122"/>
      <c r="I109" s="122"/>
      <c r="J109" s="122"/>
      <c r="K109" s="135"/>
      <c r="L109" s="134"/>
      <c r="M109" s="134"/>
      <c r="N109" s="135"/>
      <c r="O109" s="266"/>
      <c r="P109" s="89"/>
      <c r="R109" t="str">
        <f t="shared" si="21"/>
        <v/>
      </c>
      <c r="S109" t="str">
        <f t="shared" si="22"/>
        <v/>
      </c>
      <c r="T109" t="str">
        <f t="shared" si="23"/>
        <v/>
      </c>
      <c r="X109">
        <v>4263</v>
      </c>
      <c r="Y109" t="s">
        <v>165</v>
      </c>
      <c r="AA109" t="str">
        <f t="shared" si="24"/>
        <v>42</v>
      </c>
      <c r="AB109" t="str">
        <f t="shared" si="25"/>
        <v>426</v>
      </c>
      <c r="AD109" t="s">
        <v>736</v>
      </c>
      <c r="AE109" t="s">
        <v>737</v>
      </c>
      <c r="AF109" t="str">
        <f t="shared" si="26"/>
        <v>A679072</v>
      </c>
      <c r="AG109" t="str">
        <f>VLOOKUP(AF109,AKT!$C$4:$E$324,3,FALSE)</f>
        <v>0942</v>
      </c>
    </row>
    <row r="110" spans="1:33">
      <c r="A110" s="90"/>
      <c r="B110" s="85" t="str">
        <f t="shared" si="17"/>
        <v/>
      </c>
      <c r="C110" s="90"/>
      <c r="D110" s="85" t="str">
        <f t="shared" si="18"/>
        <v/>
      </c>
      <c r="E110" s="123"/>
      <c r="F110" s="85" t="str">
        <f t="shared" si="19"/>
        <v/>
      </c>
      <c r="G110" s="85" t="str">
        <f t="shared" si="20"/>
        <v/>
      </c>
      <c r="H110" s="122"/>
      <c r="I110" s="122"/>
      <c r="J110" s="122"/>
      <c r="K110" s="135"/>
      <c r="L110" s="134"/>
      <c r="M110" s="134"/>
      <c r="N110" s="135"/>
      <c r="O110" s="266"/>
      <c r="P110" s="89"/>
      <c r="R110" t="str">
        <f t="shared" si="21"/>
        <v/>
      </c>
      <c r="S110" t="str">
        <f t="shared" si="22"/>
        <v/>
      </c>
      <c r="T110" t="str">
        <f t="shared" si="23"/>
        <v/>
      </c>
      <c r="X110">
        <v>4264</v>
      </c>
      <c r="Y110" t="s">
        <v>120</v>
      </c>
      <c r="AA110" t="str">
        <f t="shared" si="24"/>
        <v>42</v>
      </c>
      <c r="AB110" t="str">
        <f t="shared" si="25"/>
        <v>426</v>
      </c>
      <c r="AD110" t="s">
        <v>1272</v>
      </c>
      <c r="AE110" t="s">
        <v>1273</v>
      </c>
      <c r="AF110" t="str">
        <f t="shared" si="26"/>
        <v>A679072</v>
      </c>
      <c r="AG110" t="str">
        <f>VLOOKUP(AF110,AKT!$C$4:$E$324,3,FALSE)</f>
        <v>0942</v>
      </c>
    </row>
    <row r="111" spans="1:33">
      <c r="A111" s="90"/>
      <c r="B111" s="85" t="str">
        <f t="shared" si="17"/>
        <v/>
      </c>
      <c r="C111" s="90"/>
      <c r="D111" s="85" t="str">
        <f t="shared" si="18"/>
        <v/>
      </c>
      <c r="E111" s="123"/>
      <c r="F111" s="85" t="str">
        <f t="shared" si="19"/>
        <v/>
      </c>
      <c r="G111" s="85" t="str">
        <f t="shared" si="20"/>
        <v/>
      </c>
      <c r="H111" s="122"/>
      <c r="I111" s="122"/>
      <c r="J111" s="122"/>
      <c r="K111" s="135"/>
      <c r="L111" s="134"/>
      <c r="M111" s="134"/>
      <c r="N111" s="135"/>
      <c r="O111" s="266"/>
      <c r="P111" s="89"/>
      <c r="R111" t="str">
        <f t="shared" si="21"/>
        <v/>
      </c>
      <c r="S111" t="str">
        <f t="shared" si="22"/>
        <v/>
      </c>
      <c r="T111" t="str">
        <f t="shared" si="23"/>
        <v/>
      </c>
      <c r="X111">
        <v>4312</v>
      </c>
      <c r="Y111" t="s">
        <v>122</v>
      </c>
      <c r="AA111" t="str">
        <f t="shared" si="24"/>
        <v>43</v>
      </c>
      <c r="AB111" t="str">
        <f t="shared" si="25"/>
        <v>431</v>
      </c>
      <c r="AD111" t="s">
        <v>1274</v>
      </c>
      <c r="AE111" t="s">
        <v>1275</v>
      </c>
      <c r="AF111" t="str">
        <f t="shared" si="26"/>
        <v>A679072</v>
      </c>
      <c r="AG111" t="str">
        <f>VLOOKUP(AF111,AKT!$C$4:$E$324,3,FALSE)</f>
        <v>0942</v>
      </c>
    </row>
    <row r="112" spans="1:33">
      <c r="A112" s="90"/>
      <c r="B112" s="85" t="str">
        <f t="shared" si="17"/>
        <v/>
      </c>
      <c r="C112" s="90"/>
      <c r="D112" s="85" t="str">
        <f t="shared" si="18"/>
        <v/>
      </c>
      <c r="E112" s="123"/>
      <c r="F112" s="85" t="str">
        <f t="shared" si="19"/>
        <v/>
      </c>
      <c r="G112" s="85" t="str">
        <f t="shared" si="20"/>
        <v/>
      </c>
      <c r="H112" s="122"/>
      <c r="I112" s="122"/>
      <c r="J112" s="122"/>
      <c r="K112" s="135"/>
      <c r="L112" s="134"/>
      <c r="M112" s="134"/>
      <c r="N112" s="135"/>
      <c r="O112" s="266"/>
      <c r="P112" s="89"/>
      <c r="R112" t="str">
        <f t="shared" si="21"/>
        <v/>
      </c>
      <c r="S112" t="str">
        <f t="shared" si="22"/>
        <v/>
      </c>
      <c r="T112" t="str">
        <f t="shared" si="23"/>
        <v/>
      </c>
      <c r="X112">
        <v>4411</v>
      </c>
      <c r="Y112" t="s">
        <v>166</v>
      </c>
      <c r="AA112" t="str">
        <f t="shared" si="24"/>
        <v>44</v>
      </c>
      <c r="AB112" t="str">
        <f t="shared" si="25"/>
        <v>441</v>
      </c>
      <c r="AD112" t="s">
        <v>1276</v>
      </c>
      <c r="AE112" t="s">
        <v>1277</v>
      </c>
      <c r="AF112" t="str">
        <f t="shared" si="26"/>
        <v>A679072</v>
      </c>
      <c r="AG112" t="str">
        <f>VLOOKUP(AF112,AKT!$C$4:$E$324,3,FALSE)</f>
        <v>0942</v>
      </c>
    </row>
    <row r="113" spans="1:33">
      <c r="A113" s="265"/>
      <c r="B113" s="85" t="str">
        <f t="shared" si="17"/>
        <v/>
      </c>
      <c r="C113" s="90"/>
      <c r="D113" s="85" t="str">
        <f t="shared" si="18"/>
        <v/>
      </c>
      <c r="E113" s="123"/>
      <c r="F113" s="85" t="str">
        <f t="shared" si="19"/>
        <v/>
      </c>
      <c r="G113" s="85" t="str">
        <f t="shared" si="20"/>
        <v/>
      </c>
      <c r="H113" s="122"/>
      <c r="I113" s="122"/>
      <c r="J113" s="122"/>
      <c r="K113" s="135"/>
      <c r="L113" s="134"/>
      <c r="M113" s="134"/>
      <c r="N113" s="135"/>
      <c r="O113" s="266"/>
      <c r="P113" s="89"/>
      <c r="R113" t="str">
        <f t="shared" si="21"/>
        <v/>
      </c>
      <c r="S113" t="str">
        <f t="shared" si="22"/>
        <v/>
      </c>
      <c r="T113" t="str">
        <f t="shared" si="23"/>
        <v/>
      </c>
      <c r="X113">
        <v>4511</v>
      </c>
      <c r="Y113" t="s">
        <v>121</v>
      </c>
      <c r="AA113" t="str">
        <f t="shared" si="24"/>
        <v>45</v>
      </c>
      <c r="AB113" t="str">
        <f t="shared" si="25"/>
        <v>451</v>
      </c>
      <c r="AD113" t="s">
        <v>1278</v>
      </c>
      <c r="AE113" t="s">
        <v>1279</v>
      </c>
      <c r="AF113" t="str">
        <f t="shared" si="26"/>
        <v>A679072</v>
      </c>
      <c r="AG113" t="str">
        <f>VLOOKUP(AF113,AKT!$C$4:$E$324,3,FALSE)</f>
        <v>0942</v>
      </c>
    </row>
    <row r="114" spans="1:33">
      <c r="A114" s="265"/>
      <c r="B114" s="85" t="str">
        <f t="shared" si="17"/>
        <v/>
      </c>
      <c r="C114" s="90"/>
      <c r="D114" s="85" t="str">
        <f t="shared" si="18"/>
        <v/>
      </c>
      <c r="E114" s="123"/>
      <c r="F114" s="85" t="str">
        <f t="shared" si="19"/>
        <v/>
      </c>
      <c r="G114" s="85" t="str">
        <f t="shared" si="20"/>
        <v/>
      </c>
      <c r="H114" s="122"/>
      <c r="I114" s="122"/>
      <c r="J114" s="122"/>
      <c r="K114" s="135"/>
      <c r="L114" s="134"/>
      <c r="M114" s="134"/>
      <c r="N114" s="135"/>
      <c r="O114" s="266"/>
      <c r="P114" s="89"/>
      <c r="R114" t="str">
        <f t="shared" si="21"/>
        <v/>
      </c>
      <c r="S114" t="str">
        <f t="shared" si="22"/>
        <v/>
      </c>
      <c r="T114" t="str">
        <f t="shared" si="23"/>
        <v/>
      </c>
      <c r="X114">
        <v>4521</v>
      </c>
      <c r="Y114" t="s">
        <v>140</v>
      </c>
      <c r="AA114" t="str">
        <f t="shared" si="24"/>
        <v>45</v>
      </c>
      <c r="AB114" t="str">
        <f t="shared" si="25"/>
        <v>452</v>
      </c>
      <c r="AD114" t="s">
        <v>1280</v>
      </c>
      <c r="AE114" t="s">
        <v>1281</v>
      </c>
      <c r="AF114" t="str">
        <f t="shared" si="26"/>
        <v>A679072</v>
      </c>
      <c r="AG114" t="str">
        <f>VLOOKUP(AF114,AKT!$C$4:$E$324,3,FALSE)</f>
        <v>0942</v>
      </c>
    </row>
    <row r="115" spans="1:33">
      <c r="A115" s="90"/>
      <c r="B115" s="85" t="str">
        <f t="shared" si="17"/>
        <v/>
      </c>
      <c r="C115" s="90"/>
      <c r="D115" s="85" t="str">
        <f t="shared" si="18"/>
        <v/>
      </c>
      <c r="E115" s="123"/>
      <c r="F115" s="85" t="str">
        <f t="shared" si="19"/>
        <v/>
      </c>
      <c r="G115" s="85" t="str">
        <f t="shared" si="20"/>
        <v/>
      </c>
      <c r="H115" s="122"/>
      <c r="I115" s="122"/>
      <c r="J115" s="122"/>
      <c r="K115" s="135"/>
      <c r="L115" s="134"/>
      <c r="M115" s="134"/>
      <c r="N115" s="135"/>
      <c r="O115" s="266"/>
      <c r="P115" s="89"/>
      <c r="R115" t="str">
        <f t="shared" si="21"/>
        <v/>
      </c>
      <c r="S115" t="str">
        <f t="shared" si="22"/>
        <v/>
      </c>
      <c r="T115" t="str">
        <f t="shared" si="23"/>
        <v/>
      </c>
      <c r="X115">
        <v>4531</v>
      </c>
      <c r="Y115" t="s">
        <v>183</v>
      </c>
      <c r="AA115" t="str">
        <f t="shared" si="24"/>
        <v>45</v>
      </c>
      <c r="AB115" t="str">
        <f t="shared" si="25"/>
        <v>453</v>
      </c>
      <c r="AD115" t="s">
        <v>1282</v>
      </c>
      <c r="AE115" t="s">
        <v>1283</v>
      </c>
      <c r="AF115" t="str">
        <f t="shared" si="26"/>
        <v>A679072</v>
      </c>
      <c r="AG115" t="str">
        <f>VLOOKUP(AF115,AKT!$C$4:$E$324,3,FALSE)</f>
        <v>0942</v>
      </c>
    </row>
    <row r="116" spans="1:33">
      <c r="A116" s="90"/>
      <c r="B116" s="85" t="str">
        <f t="shared" si="17"/>
        <v/>
      </c>
      <c r="C116" s="90"/>
      <c r="D116" s="85" t="str">
        <f t="shared" si="18"/>
        <v/>
      </c>
      <c r="E116" s="123"/>
      <c r="F116" s="85" t="str">
        <f t="shared" si="19"/>
        <v/>
      </c>
      <c r="G116" s="85" t="str">
        <f t="shared" si="20"/>
        <v/>
      </c>
      <c r="H116" s="122"/>
      <c r="I116" s="122"/>
      <c r="J116" s="122"/>
      <c r="K116" s="135"/>
      <c r="L116" s="134"/>
      <c r="M116" s="134"/>
      <c r="N116" s="135"/>
      <c r="O116" s="266"/>
      <c r="P116" s="89"/>
      <c r="R116" t="str">
        <f t="shared" si="21"/>
        <v/>
      </c>
      <c r="S116" t="str">
        <f t="shared" si="22"/>
        <v/>
      </c>
      <c r="T116" t="str">
        <f t="shared" si="23"/>
        <v/>
      </c>
      <c r="X116">
        <v>4541</v>
      </c>
      <c r="Y116" t="s">
        <v>135</v>
      </c>
      <c r="AA116" t="str">
        <f t="shared" si="24"/>
        <v>45</v>
      </c>
      <c r="AB116" t="str">
        <f t="shared" si="25"/>
        <v>454</v>
      </c>
      <c r="AD116" t="s">
        <v>1284</v>
      </c>
      <c r="AE116" t="s">
        <v>1285</v>
      </c>
      <c r="AF116" t="str">
        <f t="shared" si="26"/>
        <v>A679072</v>
      </c>
      <c r="AG116" t="str">
        <f>VLOOKUP(AF116,AKT!$C$4:$E$324,3,FALSE)</f>
        <v>0942</v>
      </c>
    </row>
    <row r="117" spans="1:33">
      <c r="A117" s="90"/>
      <c r="B117" s="85" t="str">
        <f t="shared" si="17"/>
        <v/>
      </c>
      <c r="C117" s="90"/>
      <c r="D117" s="85" t="str">
        <f t="shared" si="18"/>
        <v/>
      </c>
      <c r="E117" s="123"/>
      <c r="F117" s="85" t="str">
        <f t="shared" si="19"/>
        <v/>
      </c>
      <c r="G117" s="85" t="str">
        <f t="shared" si="20"/>
        <v/>
      </c>
      <c r="H117" s="122"/>
      <c r="I117" s="122"/>
      <c r="J117" s="122"/>
      <c r="K117" s="135"/>
      <c r="L117" s="134"/>
      <c r="M117" s="134"/>
      <c r="N117" s="135"/>
      <c r="O117" s="266"/>
      <c r="P117" s="89"/>
      <c r="R117" t="str">
        <f t="shared" si="21"/>
        <v/>
      </c>
      <c r="S117" t="str">
        <f t="shared" si="22"/>
        <v/>
      </c>
      <c r="T117" t="str">
        <f t="shared" si="23"/>
        <v/>
      </c>
      <c r="X117">
        <v>5121</v>
      </c>
      <c r="Y117" t="s">
        <v>191</v>
      </c>
      <c r="AA117" t="str">
        <f t="shared" si="24"/>
        <v>51</v>
      </c>
      <c r="AB117" t="str">
        <f t="shared" si="25"/>
        <v>512</v>
      </c>
      <c r="AD117" t="s">
        <v>1286</v>
      </c>
      <c r="AE117" t="s">
        <v>1287</v>
      </c>
      <c r="AF117" t="str">
        <f t="shared" si="26"/>
        <v>A679072</v>
      </c>
      <c r="AG117" t="str">
        <f>VLOOKUP(AF117,AKT!$C$4:$E$324,3,FALSE)</f>
        <v>0942</v>
      </c>
    </row>
    <row r="118" spans="1:33">
      <c r="A118" s="90"/>
      <c r="B118" s="85" t="str">
        <f t="shared" si="17"/>
        <v/>
      </c>
      <c r="C118" s="90"/>
      <c r="D118" s="85" t="str">
        <f t="shared" si="18"/>
        <v/>
      </c>
      <c r="E118" s="123"/>
      <c r="F118" s="85" t="str">
        <f t="shared" si="19"/>
        <v/>
      </c>
      <c r="G118" s="85" t="str">
        <f t="shared" si="20"/>
        <v/>
      </c>
      <c r="H118" s="122"/>
      <c r="I118" s="122"/>
      <c r="J118" s="122"/>
      <c r="K118" s="135"/>
      <c r="L118" s="134"/>
      <c r="M118" s="134"/>
      <c r="N118" s="135"/>
      <c r="O118" s="266"/>
      <c r="P118" s="89"/>
      <c r="R118" t="str">
        <f t="shared" si="21"/>
        <v/>
      </c>
      <c r="S118" t="str">
        <f t="shared" si="22"/>
        <v/>
      </c>
      <c r="T118" t="str">
        <f t="shared" si="23"/>
        <v/>
      </c>
      <c r="X118">
        <v>5443</v>
      </c>
      <c r="Y118" t="s">
        <v>167</v>
      </c>
      <c r="AA118" t="str">
        <f t="shared" si="24"/>
        <v>54</v>
      </c>
      <c r="AB118" t="str">
        <f t="shared" si="25"/>
        <v>544</v>
      </c>
      <c r="AD118" t="s">
        <v>1288</v>
      </c>
      <c r="AE118" t="s">
        <v>1289</v>
      </c>
      <c r="AF118" t="str">
        <f t="shared" si="26"/>
        <v>A679072</v>
      </c>
      <c r="AG118" t="str">
        <f>VLOOKUP(AF118,AKT!$C$4:$E$324,3,FALSE)</f>
        <v>0942</v>
      </c>
    </row>
    <row r="119" spans="1:33">
      <c r="A119" s="90"/>
      <c r="B119" s="85" t="str">
        <f t="shared" si="17"/>
        <v/>
      </c>
      <c r="C119" s="90"/>
      <c r="D119" s="85" t="str">
        <f t="shared" si="18"/>
        <v/>
      </c>
      <c r="E119" s="123"/>
      <c r="F119" s="85" t="str">
        <f t="shared" si="19"/>
        <v/>
      </c>
      <c r="G119" s="85" t="str">
        <f t="shared" si="20"/>
        <v/>
      </c>
      <c r="H119" s="122"/>
      <c r="I119" s="122"/>
      <c r="J119" s="122"/>
      <c r="K119" s="135"/>
      <c r="L119" s="134"/>
      <c r="M119" s="134"/>
      <c r="N119" s="135"/>
      <c r="O119" s="266"/>
      <c r="P119" s="89"/>
      <c r="R119" t="str">
        <f t="shared" si="21"/>
        <v/>
      </c>
      <c r="S119" t="str">
        <f t="shared" si="22"/>
        <v/>
      </c>
      <c r="T119" t="str">
        <f t="shared" si="23"/>
        <v/>
      </c>
      <c r="X119">
        <v>5121</v>
      </c>
      <c r="Y119" t="s">
        <v>640</v>
      </c>
      <c r="AA119" t="str">
        <f t="shared" si="24"/>
        <v>51</v>
      </c>
      <c r="AB119" t="str">
        <f t="shared" si="25"/>
        <v>512</v>
      </c>
      <c r="AD119" t="s">
        <v>1290</v>
      </c>
      <c r="AE119" t="s">
        <v>1291</v>
      </c>
      <c r="AF119" t="str">
        <f t="shared" si="26"/>
        <v>A679072</v>
      </c>
      <c r="AG119" t="str">
        <f>VLOOKUP(AF119,AKT!$C$4:$E$324,3,FALSE)</f>
        <v>0942</v>
      </c>
    </row>
    <row r="120" spans="1:33">
      <c r="A120" s="90"/>
      <c r="B120" s="85" t="str">
        <f t="shared" si="17"/>
        <v/>
      </c>
      <c r="C120" s="90"/>
      <c r="D120" s="85" t="str">
        <f t="shared" si="18"/>
        <v/>
      </c>
      <c r="E120" s="123"/>
      <c r="F120" s="85" t="str">
        <f t="shared" si="19"/>
        <v/>
      </c>
      <c r="G120" s="85" t="str">
        <f t="shared" si="20"/>
        <v/>
      </c>
      <c r="H120" s="122"/>
      <c r="I120" s="122"/>
      <c r="J120" s="122"/>
      <c r="K120" s="135"/>
      <c r="L120" s="134"/>
      <c r="M120" s="134"/>
      <c r="N120" s="135"/>
      <c r="O120" s="266"/>
      <c r="P120" s="89"/>
      <c r="R120" t="str">
        <f t="shared" si="21"/>
        <v/>
      </c>
      <c r="S120" t="str">
        <f t="shared" si="22"/>
        <v/>
      </c>
      <c r="T120" t="str">
        <f t="shared" si="23"/>
        <v/>
      </c>
      <c r="X120">
        <v>5122</v>
      </c>
      <c r="Y120" t="s">
        <v>641</v>
      </c>
      <c r="AA120" t="str">
        <f t="shared" si="24"/>
        <v>51</v>
      </c>
      <c r="AB120" t="str">
        <f t="shared" si="25"/>
        <v>512</v>
      </c>
      <c r="AD120" t="s">
        <v>1292</v>
      </c>
      <c r="AE120" t="s">
        <v>1293</v>
      </c>
      <c r="AF120" t="str">
        <f t="shared" si="26"/>
        <v>A679072</v>
      </c>
      <c r="AG120" t="str">
        <f>VLOOKUP(AF120,AKT!$C$4:$E$324,3,FALSE)</f>
        <v>0942</v>
      </c>
    </row>
    <row r="121" spans="1:33">
      <c r="A121" s="90"/>
      <c r="B121" s="85" t="str">
        <f t="shared" si="17"/>
        <v/>
      </c>
      <c r="C121" s="90"/>
      <c r="D121" s="85" t="str">
        <f t="shared" si="18"/>
        <v/>
      </c>
      <c r="E121" s="123"/>
      <c r="F121" s="85" t="str">
        <f t="shared" si="19"/>
        <v/>
      </c>
      <c r="G121" s="85" t="str">
        <f t="shared" si="20"/>
        <v/>
      </c>
      <c r="H121" s="122"/>
      <c r="I121" s="122"/>
      <c r="J121" s="122"/>
      <c r="K121" s="135"/>
      <c r="L121" s="134"/>
      <c r="M121" s="134"/>
      <c r="N121" s="135"/>
      <c r="O121" s="266"/>
      <c r="P121" s="89"/>
      <c r="R121" t="str">
        <f t="shared" si="21"/>
        <v/>
      </c>
      <c r="S121" t="str">
        <f t="shared" si="22"/>
        <v/>
      </c>
      <c r="T121" t="str">
        <f t="shared" si="23"/>
        <v/>
      </c>
      <c r="X121">
        <v>5141</v>
      </c>
      <c r="Y121" t="s">
        <v>642</v>
      </c>
      <c r="AA121" t="str">
        <f t="shared" si="24"/>
        <v>51</v>
      </c>
      <c r="AB121" t="str">
        <f t="shared" si="25"/>
        <v>514</v>
      </c>
      <c r="AD121" t="s">
        <v>1294</v>
      </c>
      <c r="AE121" t="s">
        <v>1295</v>
      </c>
      <c r="AF121" t="str">
        <f t="shared" si="26"/>
        <v>A679072</v>
      </c>
      <c r="AG121" t="str">
        <f>VLOOKUP(AF121,AKT!$C$4:$E$324,3,FALSE)</f>
        <v>0942</v>
      </c>
    </row>
    <row r="122" spans="1:33">
      <c r="A122" s="90"/>
      <c r="B122" s="85" t="str">
        <f t="shared" si="17"/>
        <v/>
      </c>
      <c r="C122" s="90"/>
      <c r="D122" s="85" t="str">
        <f t="shared" si="18"/>
        <v/>
      </c>
      <c r="E122" s="123"/>
      <c r="F122" s="85" t="str">
        <f t="shared" si="19"/>
        <v/>
      </c>
      <c r="G122" s="85" t="str">
        <f t="shared" si="20"/>
        <v/>
      </c>
      <c r="H122" s="122"/>
      <c r="I122" s="122"/>
      <c r="J122" s="122"/>
      <c r="K122" s="135"/>
      <c r="L122" s="134"/>
      <c r="M122" s="134"/>
      <c r="N122" s="135"/>
      <c r="O122" s="266"/>
      <c r="P122" s="89"/>
      <c r="R122" t="str">
        <f t="shared" si="21"/>
        <v/>
      </c>
      <c r="S122" t="str">
        <f t="shared" si="22"/>
        <v/>
      </c>
      <c r="T122" t="str">
        <f t="shared" si="23"/>
        <v/>
      </c>
      <c r="X122">
        <v>5181</v>
      </c>
      <c r="Y122" t="s">
        <v>643</v>
      </c>
      <c r="AA122" t="str">
        <f t="shared" si="24"/>
        <v>51</v>
      </c>
      <c r="AB122" t="str">
        <f t="shared" si="25"/>
        <v>518</v>
      </c>
      <c r="AD122" t="s">
        <v>1296</v>
      </c>
      <c r="AE122" t="s">
        <v>1297</v>
      </c>
      <c r="AF122" t="str">
        <f t="shared" si="26"/>
        <v>A679072</v>
      </c>
      <c r="AG122" t="str">
        <f>VLOOKUP(AF122,AKT!$C$4:$E$324,3,FALSE)</f>
        <v>0942</v>
      </c>
    </row>
    <row r="123" spans="1:33">
      <c r="A123" s="90"/>
      <c r="B123" s="85" t="str">
        <f t="shared" si="17"/>
        <v/>
      </c>
      <c r="C123" s="90"/>
      <c r="D123" s="85" t="str">
        <f t="shared" si="18"/>
        <v/>
      </c>
      <c r="E123" s="123"/>
      <c r="F123" s="85" t="str">
        <f t="shared" si="19"/>
        <v/>
      </c>
      <c r="G123" s="85" t="str">
        <f t="shared" si="20"/>
        <v/>
      </c>
      <c r="H123" s="122"/>
      <c r="I123" s="122"/>
      <c r="J123" s="122"/>
      <c r="K123" s="135"/>
      <c r="L123" s="134"/>
      <c r="M123" s="134"/>
      <c r="N123" s="135"/>
      <c r="O123" s="266"/>
      <c r="P123" s="89"/>
      <c r="R123" t="str">
        <f t="shared" si="21"/>
        <v/>
      </c>
      <c r="S123" t="str">
        <f t="shared" si="22"/>
        <v/>
      </c>
      <c r="T123" t="str">
        <f t="shared" si="23"/>
        <v/>
      </c>
      <c r="X123">
        <v>5183</v>
      </c>
      <c r="Y123" t="s">
        <v>644</v>
      </c>
      <c r="AA123" t="str">
        <f t="shared" si="24"/>
        <v>51</v>
      </c>
      <c r="AB123" t="str">
        <f t="shared" si="25"/>
        <v>518</v>
      </c>
      <c r="AD123" t="s">
        <v>1298</v>
      </c>
      <c r="AE123" t="s">
        <v>1299</v>
      </c>
      <c r="AF123" t="str">
        <f t="shared" si="26"/>
        <v>A679072</v>
      </c>
      <c r="AG123" t="str">
        <f>VLOOKUP(AF123,AKT!$C$4:$E$324,3,FALSE)</f>
        <v>0942</v>
      </c>
    </row>
    <row r="124" spans="1:33">
      <c r="A124" s="90"/>
      <c r="B124" s="85" t="str">
        <f t="shared" si="17"/>
        <v/>
      </c>
      <c r="C124" s="90"/>
      <c r="D124" s="85" t="str">
        <f t="shared" si="18"/>
        <v/>
      </c>
      <c r="E124" s="123"/>
      <c r="F124" s="85" t="str">
        <f t="shared" si="19"/>
        <v/>
      </c>
      <c r="G124" s="85" t="str">
        <f t="shared" si="20"/>
        <v/>
      </c>
      <c r="H124" s="122"/>
      <c r="I124" s="122"/>
      <c r="J124" s="122"/>
      <c r="K124" s="135"/>
      <c r="L124" s="134"/>
      <c r="M124" s="134"/>
      <c r="N124" s="135"/>
      <c r="O124" s="266"/>
      <c r="P124" s="89"/>
      <c r="R124" t="str">
        <f t="shared" si="21"/>
        <v/>
      </c>
      <c r="S124" t="str">
        <f t="shared" si="22"/>
        <v/>
      </c>
      <c r="T124" t="str">
        <f t="shared" si="23"/>
        <v/>
      </c>
      <c r="X124">
        <v>5422</v>
      </c>
      <c r="Y124" t="s">
        <v>645</v>
      </c>
      <c r="AA124" t="str">
        <f t="shared" si="24"/>
        <v>54</v>
      </c>
      <c r="AB124" t="str">
        <f t="shared" si="25"/>
        <v>542</v>
      </c>
      <c r="AD124" t="s">
        <v>1300</v>
      </c>
      <c r="AE124" t="s">
        <v>1301</v>
      </c>
      <c r="AF124" t="str">
        <f t="shared" si="26"/>
        <v>A679072</v>
      </c>
      <c r="AG124" t="str">
        <f>VLOOKUP(AF124,AKT!$C$4:$E$324,3,FALSE)</f>
        <v>0942</v>
      </c>
    </row>
    <row r="125" spans="1:33">
      <c r="A125" s="90"/>
      <c r="B125" s="85" t="str">
        <f t="shared" si="17"/>
        <v/>
      </c>
      <c r="C125" s="90"/>
      <c r="D125" s="85" t="str">
        <f t="shared" si="18"/>
        <v/>
      </c>
      <c r="E125" s="123"/>
      <c r="F125" s="85" t="str">
        <f t="shared" si="19"/>
        <v/>
      </c>
      <c r="G125" s="85" t="str">
        <f t="shared" si="20"/>
        <v/>
      </c>
      <c r="H125" s="122"/>
      <c r="I125" s="122"/>
      <c r="J125" s="122"/>
      <c r="K125" s="135"/>
      <c r="L125" s="134"/>
      <c r="M125" s="134"/>
      <c r="N125" s="135"/>
      <c r="O125" s="266"/>
      <c r="P125" s="89"/>
      <c r="R125" t="str">
        <f t="shared" si="21"/>
        <v/>
      </c>
      <c r="S125" t="str">
        <f t="shared" si="22"/>
        <v/>
      </c>
      <c r="T125" t="str">
        <f t="shared" si="23"/>
        <v/>
      </c>
      <c r="X125">
        <v>5431</v>
      </c>
      <c r="Y125" t="s">
        <v>265</v>
      </c>
      <c r="AA125" t="str">
        <f t="shared" si="24"/>
        <v>54</v>
      </c>
      <c r="AB125" t="str">
        <f t="shared" si="25"/>
        <v>543</v>
      </c>
      <c r="AD125" t="s">
        <v>1302</v>
      </c>
      <c r="AE125" t="s">
        <v>1303</v>
      </c>
      <c r="AF125" t="str">
        <f t="shared" si="26"/>
        <v>A679072</v>
      </c>
      <c r="AG125" t="str">
        <f>VLOOKUP(AF125,AKT!$C$4:$E$324,3,FALSE)</f>
        <v>0942</v>
      </c>
    </row>
    <row r="126" spans="1:33">
      <c r="A126" s="90"/>
      <c r="B126" s="85" t="str">
        <f t="shared" si="17"/>
        <v/>
      </c>
      <c r="C126" s="90"/>
      <c r="D126" s="85" t="str">
        <f t="shared" si="18"/>
        <v/>
      </c>
      <c r="E126" s="123"/>
      <c r="F126" s="85" t="str">
        <f t="shared" si="19"/>
        <v/>
      </c>
      <c r="G126" s="85" t="str">
        <f t="shared" si="20"/>
        <v/>
      </c>
      <c r="H126" s="122"/>
      <c r="I126" s="122"/>
      <c r="J126" s="122"/>
      <c r="K126" s="135"/>
      <c r="L126" s="134"/>
      <c r="M126" s="134"/>
      <c r="N126" s="135"/>
      <c r="O126" s="266"/>
      <c r="P126" s="89"/>
      <c r="R126" t="str">
        <f t="shared" si="21"/>
        <v/>
      </c>
      <c r="S126" t="str">
        <f t="shared" si="22"/>
        <v/>
      </c>
      <c r="T126" t="str">
        <f t="shared" si="23"/>
        <v/>
      </c>
      <c r="X126">
        <v>5443</v>
      </c>
      <c r="Y126" t="s">
        <v>646</v>
      </c>
      <c r="AA126" t="str">
        <f t="shared" si="24"/>
        <v>54</v>
      </c>
      <c r="AB126" t="str">
        <f t="shared" si="25"/>
        <v>544</v>
      </c>
      <c r="AD126" t="s">
        <v>1304</v>
      </c>
      <c r="AE126" t="s">
        <v>1305</v>
      </c>
      <c r="AF126" t="str">
        <f t="shared" si="26"/>
        <v>A679072</v>
      </c>
      <c r="AG126" t="str">
        <f>VLOOKUP(AF126,AKT!$C$4:$E$324,3,FALSE)</f>
        <v>0942</v>
      </c>
    </row>
    <row r="127" spans="1:33">
      <c r="A127" s="90"/>
      <c r="B127" s="85" t="str">
        <f t="shared" si="17"/>
        <v/>
      </c>
      <c r="C127" s="90"/>
      <c r="D127" s="85" t="str">
        <f t="shared" si="18"/>
        <v/>
      </c>
      <c r="E127" s="123"/>
      <c r="F127" s="85" t="str">
        <f t="shared" si="19"/>
        <v/>
      </c>
      <c r="G127" s="85" t="str">
        <f t="shared" si="20"/>
        <v/>
      </c>
      <c r="H127" s="122"/>
      <c r="I127" s="122"/>
      <c r="J127" s="122"/>
      <c r="K127" s="135"/>
      <c r="L127" s="134"/>
      <c r="M127" s="134"/>
      <c r="N127" s="135"/>
      <c r="O127" s="266"/>
      <c r="P127" s="89"/>
      <c r="R127" t="str">
        <f t="shared" si="21"/>
        <v/>
      </c>
      <c r="S127" t="str">
        <f t="shared" si="22"/>
        <v/>
      </c>
      <c r="T127" t="str">
        <f t="shared" si="23"/>
        <v/>
      </c>
      <c r="X127">
        <v>5445</v>
      </c>
      <c r="Y127" t="s">
        <v>647</v>
      </c>
      <c r="AA127" t="str">
        <f t="shared" si="24"/>
        <v>54</v>
      </c>
      <c r="AB127" t="str">
        <f t="shared" si="25"/>
        <v>544</v>
      </c>
      <c r="AD127" t="s">
        <v>1306</v>
      </c>
      <c r="AE127" t="s">
        <v>1307</v>
      </c>
      <c r="AF127" t="str">
        <f t="shared" si="26"/>
        <v>A679072</v>
      </c>
      <c r="AG127" t="str">
        <f>VLOOKUP(AF127,AKT!$C$4:$E$324,3,FALSE)</f>
        <v>0942</v>
      </c>
    </row>
    <row r="128" spans="1:33">
      <c r="A128" s="90"/>
      <c r="B128" s="85" t="str">
        <f t="shared" si="17"/>
        <v/>
      </c>
      <c r="C128" s="90"/>
      <c r="D128" s="85" t="str">
        <f t="shared" si="18"/>
        <v/>
      </c>
      <c r="E128" s="123"/>
      <c r="F128" s="85" t="str">
        <f t="shared" si="19"/>
        <v/>
      </c>
      <c r="G128" s="85" t="str">
        <f t="shared" si="20"/>
        <v/>
      </c>
      <c r="H128" s="122"/>
      <c r="I128" s="122"/>
      <c r="J128" s="122"/>
      <c r="K128" s="135"/>
      <c r="L128" s="134"/>
      <c r="M128" s="134"/>
      <c r="N128" s="135"/>
      <c r="O128" s="266"/>
      <c r="P128" s="89"/>
      <c r="R128" t="str">
        <f t="shared" si="21"/>
        <v/>
      </c>
      <c r="S128" t="str">
        <f t="shared" si="22"/>
        <v/>
      </c>
      <c r="T128" t="str">
        <f t="shared" si="23"/>
        <v/>
      </c>
      <c r="X128">
        <v>5453</v>
      </c>
      <c r="Y128" t="s">
        <v>648</v>
      </c>
      <c r="AA128" t="str">
        <f t="shared" si="24"/>
        <v>54</v>
      </c>
      <c r="AB128" t="str">
        <f t="shared" si="25"/>
        <v>545</v>
      </c>
      <c r="AD128" t="s">
        <v>1308</v>
      </c>
      <c r="AE128" t="s">
        <v>1309</v>
      </c>
      <c r="AF128" t="str">
        <f t="shared" si="26"/>
        <v>A679072</v>
      </c>
      <c r="AG128" t="str">
        <f>VLOOKUP(AF128,AKT!$C$4:$E$324,3,FALSE)</f>
        <v>0942</v>
      </c>
    </row>
    <row r="129" spans="1:33">
      <c r="A129" s="90"/>
      <c r="B129" s="85" t="str">
        <f t="shared" si="17"/>
        <v/>
      </c>
      <c r="C129" s="90"/>
      <c r="D129" s="85" t="str">
        <f t="shared" si="18"/>
        <v/>
      </c>
      <c r="E129" s="123"/>
      <c r="F129" s="85" t="str">
        <f t="shared" si="19"/>
        <v/>
      </c>
      <c r="G129" s="85" t="str">
        <f t="shared" si="20"/>
        <v/>
      </c>
      <c r="H129" s="122"/>
      <c r="I129" s="122"/>
      <c r="J129" s="122"/>
      <c r="K129" s="135"/>
      <c r="L129" s="134"/>
      <c r="M129" s="134"/>
      <c r="N129" s="135"/>
      <c r="O129" s="266"/>
      <c r="P129" s="89"/>
      <c r="R129" t="str">
        <f t="shared" si="21"/>
        <v/>
      </c>
      <c r="S129" t="str">
        <f t="shared" si="22"/>
        <v/>
      </c>
      <c r="T129" t="str">
        <f t="shared" si="23"/>
        <v/>
      </c>
      <c r="X129">
        <v>5472</v>
      </c>
      <c r="Y129" t="s">
        <v>649</v>
      </c>
      <c r="AA129" t="str">
        <f t="shared" si="24"/>
        <v>54</v>
      </c>
      <c r="AB129" t="str">
        <f t="shared" si="25"/>
        <v>547</v>
      </c>
      <c r="AD129" t="s">
        <v>1310</v>
      </c>
      <c r="AE129" t="s">
        <v>1311</v>
      </c>
      <c r="AF129" t="str">
        <f t="shared" si="26"/>
        <v>A679072</v>
      </c>
      <c r="AG129" t="str">
        <f>VLOOKUP(AF129,AKT!$C$4:$E$324,3,FALSE)</f>
        <v>0942</v>
      </c>
    </row>
    <row r="130" spans="1:33">
      <c r="A130" s="90"/>
      <c r="B130" s="85" t="str">
        <f t="shared" si="17"/>
        <v/>
      </c>
      <c r="C130" s="90"/>
      <c r="D130" s="85" t="str">
        <f t="shared" si="18"/>
        <v/>
      </c>
      <c r="E130" s="123"/>
      <c r="F130" s="85" t="str">
        <f t="shared" si="19"/>
        <v/>
      </c>
      <c r="G130" s="85" t="str">
        <f t="shared" si="20"/>
        <v/>
      </c>
      <c r="H130" s="122"/>
      <c r="I130" s="122"/>
      <c r="J130" s="122"/>
      <c r="K130" s="135"/>
      <c r="L130" s="134"/>
      <c r="M130" s="134"/>
      <c r="N130" s="135"/>
      <c r="O130" s="266"/>
      <c r="P130" s="89"/>
      <c r="R130" t="str">
        <f t="shared" si="21"/>
        <v/>
      </c>
      <c r="S130" t="str">
        <f t="shared" si="22"/>
        <v/>
      </c>
      <c r="T130" t="str">
        <f t="shared" si="23"/>
        <v/>
      </c>
      <c r="AD130" t="s">
        <v>1312</v>
      </c>
      <c r="AE130" t="s">
        <v>1313</v>
      </c>
      <c r="AF130" t="str">
        <f t="shared" si="26"/>
        <v>A679072</v>
      </c>
      <c r="AG130" t="str">
        <f>VLOOKUP(AF130,AKT!$C$4:$E$324,3,FALSE)</f>
        <v>0942</v>
      </c>
    </row>
    <row r="131" spans="1:33">
      <c r="A131" s="90"/>
      <c r="B131" s="85" t="str">
        <f t="shared" si="17"/>
        <v/>
      </c>
      <c r="C131" s="90"/>
      <c r="D131" s="85" t="str">
        <f t="shared" si="18"/>
        <v/>
      </c>
      <c r="E131" s="123"/>
      <c r="F131" s="85" t="str">
        <f t="shared" si="19"/>
        <v/>
      </c>
      <c r="G131" s="85" t="str">
        <f t="shared" si="20"/>
        <v/>
      </c>
      <c r="H131" s="122"/>
      <c r="I131" s="122"/>
      <c r="J131" s="122"/>
      <c r="K131" s="135"/>
      <c r="L131" s="134"/>
      <c r="M131" s="134"/>
      <c r="N131" s="135"/>
      <c r="O131" s="266"/>
      <c r="P131" s="89"/>
      <c r="R131" t="str">
        <f t="shared" si="21"/>
        <v/>
      </c>
      <c r="S131" t="str">
        <f t="shared" si="22"/>
        <v/>
      </c>
      <c r="T131" t="str">
        <f t="shared" si="23"/>
        <v/>
      </c>
      <c r="AD131" t="s">
        <v>1314</v>
      </c>
      <c r="AE131" t="s">
        <v>1315</v>
      </c>
      <c r="AF131" t="str">
        <f t="shared" si="26"/>
        <v>A679072</v>
      </c>
      <c r="AG131" t="str">
        <f>VLOOKUP(AF131,AKT!$C$4:$E$324,3,FALSE)</f>
        <v>0942</v>
      </c>
    </row>
    <row r="132" spans="1:33">
      <c r="A132" s="90"/>
      <c r="B132" s="85" t="str">
        <f t="shared" ref="B132:B195" si="27">IFERROR(VLOOKUP(A132,$U$6:$V$23,2,FALSE),"")</f>
        <v/>
      </c>
      <c r="C132" s="90"/>
      <c r="D132" s="85" t="str">
        <f t="shared" ref="D132:D195" si="28">IFERROR(VLOOKUP(C132,$X$5:$Z$129,2,FALSE),"")</f>
        <v/>
      </c>
      <c r="E132" s="123"/>
      <c r="F132" s="85" t="str">
        <f t="shared" ref="F132:F195" si="29">IFERROR(VLOOKUP(E132,$AD$6:$AE$1090,2,FALSE),"")</f>
        <v/>
      </c>
      <c r="G132" s="85" t="str">
        <f t="shared" ref="G132:G195" si="30">IFERROR(VLOOKUP(E132,$AD$6:$AG$1090,4,FALSE),"")</f>
        <v/>
      </c>
      <c r="H132" s="122"/>
      <c r="I132" s="122"/>
      <c r="J132" s="122"/>
      <c r="K132" s="135"/>
      <c r="L132" s="134"/>
      <c r="M132" s="134"/>
      <c r="N132" s="135"/>
      <c r="O132" s="266"/>
      <c r="P132" s="89"/>
      <c r="R132" t="str">
        <f t="shared" ref="R132:R195" si="31">LEFT(C132,3)</f>
        <v/>
      </c>
      <c r="S132" t="str">
        <f t="shared" ref="S132:S195" si="32">LEFT(C132,2)</f>
        <v/>
      </c>
      <c r="T132" t="str">
        <f t="shared" ref="T132:T195" si="33">MID(G132,2,2)</f>
        <v/>
      </c>
      <c r="AD132" t="s">
        <v>1316</v>
      </c>
      <c r="AE132" t="s">
        <v>1317</v>
      </c>
      <c r="AF132" t="str">
        <f t="shared" si="26"/>
        <v>A679072</v>
      </c>
      <c r="AG132" t="str">
        <f>VLOOKUP(AF132,AKT!$C$4:$E$324,3,FALSE)</f>
        <v>0942</v>
      </c>
    </row>
    <row r="133" spans="1:33">
      <c r="A133" s="90"/>
      <c r="B133" s="85" t="str">
        <f t="shared" si="27"/>
        <v/>
      </c>
      <c r="C133" s="90"/>
      <c r="D133" s="85" t="str">
        <f t="shared" si="28"/>
        <v/>
      </c>
      <c r="E133" s="123"/>
      <c r="F133" s="85" t="str">
        <f t="shared" si="29"/>
        <v/>
      </c>
      <c r="G133" s="85" t="str">
        <f t="shared" si="30"/>
        <v/>
      </c>
      <c r="H133" s="122"/>
      <c r="I133" s="122"/>
      <c r="J133" s="122"/>
      <c r="K133" s="135"/>
      <c r="L133" s="134"/>
      <c r="M133" s="134"/>
      <c r="N133" s="135"/>
      <c r="O133" s="266"/>
      <c r="P133" s="89"/>
      <c r="R133" t="str">
        <f t="shared" si="31"/>
        <v/>
      </c>
      <c r="S133" t="str">
        <f t="shared" si="32"/>
        <v/>
      </c>
      <c r="T133" t="str">
        <f t="shared" si="33"/>
        <v/>
      </c>
      <c r="AD133" t="s">
        <v>1318</v>
      </c>
      <c r="AE133" t="s">
        <v>1319</v>
      </c>
      <c r="AF133" t="str">
        <f t="shared" si="26"/>
        <v>A679072</v>
      </c>
      <c r="AG133" t="str">
        <f>VLOOKUP(AF133,AKT!$C$4:$E$324,3,FALSE)</f>
        <v>0942</v>
      </c>
    </row>
    <row r="134" spans="1:33">
      <c r="A134" s="90"/>
      <c r="B134" s="85" t="str">
        <f t="shared" si="27"/>
        <v/>
      </c>
      <c r="C134" s="90"/>
      <c r="D134" s="85" t="str">
        <f t="shared" si="28"/>
        <v/>
      </c>
      <c r="E134" s="123"/>
      <c r="F134" s="85" t="str">
        <f t="shared" si="29"/>
        <v/>
      </c>
      <c r="G134" s="85" t="str">
        <f t="shared" si="30"/>
        <v/>
      </c>
      <c r="H134" s="122"/>
      <c r="I134" s="122"/>
      <c r="J134" s="122"/>
      <c r="K134" s="135"/>
      <c r="L134" s="134"/>
      <c r="M134" s="134"/>
      <c r="N134" s="135"/>
      <c r="O134" s="266"/>
      <c r="P134" s="89"/>
      <c r="R134" t="str">
        <f t="shared" si="31"/>
        <v/>
      </c>
      <c r="S134" t="str">
        <f t="shared" si="32"/>
        <v/>
      </c>
      <c r="T134" t="str">
        <f t="shared" si="33"/>
        <v/>
      </c>
      <c r="AD134" t="s">
        <v>1320</v>
      </c>
      <c r="AE134" t="s">
        <v>1321</v>
      </c>
      <c r="AF134" t="str">
        <f t="shared" si="26"/>
        <v>A679072</v>
      </c>
      <c r="AG134" t="str">
        <f>VLOOKUP(AF134,AKT!$C$4:$E$324,3,FALSE)</f>
        <v>0942</v>
      </c>
    </row>
    <row r="135" spans="1:33">
      <c r="A135" s="90"/>
      <c r="B135" s="85" t="str">
        <f t="shared" si="27"/>
        <v/>
      </c>
      <c r="C135" s="90"/>
      <c r="D135" s="85" t="str">
        <f t="shared" si="28"/>
        <v/>
      </c>
      <c r="E135" s="123"/>
      <c r="F135" s="85" t="str">
        <f t="shared" si="29"/>
        <v/>
      </c>
      <c r="G135" s="85" t="str">
        <f t="shared" si="30"/>
        <v/>
      </c>
      <c r="H135" s="122"/>
      <c r="I135" s="122"/>
      <c r="J135" s="122"/>
      <c r="K135" s="135"/>
      <c r="L135" s="134"/>
      <c r="M135" s="134"/>
      <c r="N135" s="135"/>
      <c r="O135" s="266"/>
      <c r="P135" s="89"/>
      <c r="R135" t="str">
        <f t="shared" si="31"/>
        <v/>
      </c>
      <c r="S135" t="str">
        <f t="shared" si="32"/>
        <v/>
      </c>
      <c r="T135" t="str">
        <f t="shared" si="33"/>
        <v/>
      </c>
      <c r="AD135" t="s">
        <v>1322</v>
      </c>
      <c r="AE135" t="s">
        <v>1323</v>
      </c>
      <c r="AF135" t="str">
        <f t="shared" si="26"/>
        <v>A679072</v>
      </c>
      <c r="AG135" t="str">
        <f>VLOOKUP(AF135,AKT!$C$4:$E$324,3,FALSE)</f>
        <v>0942</v>
      </c>
    </row>
    <row r="136" spans="1:33">
      <c r="A136" s="90"/>
      <c r="B136" s="85" t="str">
        <f t="shared" si="27"/>
        <v/>
      </c>
      <c r="C136" s="90"/>
      <c r="D136" s="85" t="str">
        <f t="shared" si="28"/>
        <v/>
      </c>
      <c r="E136" s="123"/>
      <c r="F136" s="85" t="str">
        <f t="shared" si="29"/>
        <v/>
      </c>
      <c r="G136" s="85" t="str">
        <f t="shared" si="30"/>
        <v/>
      </c>
      <c r="H136" s="122"/>
      <c r="I136" s="122"/>
      <c r="J136" s="122"/>
      <c r="K136" s="135"/>
      <c r="L136" s="134"/>
      <c r="M136" s="134"/>
      <c r="N136" s="135"/>
      <c r="O136" s="266"/>
      <c r="P136" s="89"/>
      <c r="R136" t="str">
        <f t="shared" si="31"/>
        <v/>
      </c>
      <c r="S136" t="str">
        <f t="shared" si="32"/>
        <v/>
      </c>
      <c r="T136" t="str">
        <f t="shared" si="33"/>
        <v/>
      </c>
      <c r="AD136" t="s">
        <v>1324</v>
      </c>
      <c r="AE136" t="s">
        <v>1325</v>
      </c>
      <c r="AF136" t="str">
        <f t="shared" ref="AF136:AF199" si="34">LEFT(AD136,7)</f>
        <v>A679072</v>
      </c>
      <c r="AG136" t="str">
        <f>VLOOKUP(AF136,AKT!$C$4:$E$324,3,FALSE)</f>
        <v>0942</v>
      </c>
    </row>
    <row r="137" spans="1:33">
      <c r="A137" s="90"/>
      <c r="B137" s="85" t="str">
        <f t="shared" si="27"/>
        <v/>
      </c>
      <c r="C137" s="90"/>
      <c r="D137" s="85" t="str">
        <f t="shared" si="28"/>
        <v/>
      </c>
      <c r="E137" s="123"/>
      <c r="F137" s="85" t="str">
        <f t="shared" si="29"/>
        <v/>
      </c>
      <c r="G137" s="85" t="str">
        <f t="shared" si="30"/>
        <v/>
      </c>
      <c r="H137" s="122"/>
      <c r="I137" s="122"/>
      <c r="J137" s="122"/>
      <c r="K137" s="135"/>
      <c r="L137" s="134"/>
      <c r="M137" s="134"/>
      <c r="N137" s="135"/>
      <c r="O137" s="266"/>
      <c r="P137" s="89"/>
      <c r="R137" t="str">
        <f t="shared" si="31"/>
        <v/>
      </c>
      <c r="S137" t="str">
        <f t="shared" si="32"/>
        <v/>
      </c>
      <c r="T137" t="str">
        <f t="shared" si="33"/>
        <v/>
      </c>
      <c r="AD137" t="s">
        <v>1326</v>
      </c>
      <c r="AE137" t="s">
        <v>1327</v>
      </c>
      <c r="AF137" t="str">
        <f t="shared" si="34"/>
        <v>A679072</v>
      </c>
      <c r="AG137" t="str">
        <f>VLOOKUP(AF137,AKT!$C$4:$E$324,3,FALSE)</f>
        <v>0942</v>
      </c>
    </row>
    <row r="138" spans="1:33">
      <c r="A138" s="90"/>
      <c r="B138" s="85" t="str">
        <f t="shared" si="27"/>
        <v/>
      </c>
      <c r="C138" s="90"/>
      <c r="D138" s="85" t="str">
        <f t="shared" si="28"/>
        <v/>
      </c>
      <c r="E138" s="123"/>
      <c r="F138" s="85" t="str">
        <f t="shared" si="29"/>
        <v/>
      </c>
      <c r="G138" s="85" t="str">
        <f t="shared" si="30"/>
        <v/>
      </c>
      <c r="H138" s="122"/>
      <c r="I138" s="122"/>
      <c r="J138" s="122"/>
      <c r="K138" s="135"/>
      <c r="L138" s="134"/>
      <c r="M138" s="134"/>
      <c r="N138" s="135"/>
      <c r="O138" s="266"/>
      <c r="P138" s="89"/>
      <c r="R138" t="str">
        <f t="shared" si="31"/>
        <v/>
      </c>
      <c r="S138" t="str">
        <f t="shared" si="32"/>
        <v/>
      </c>
      <c r="T138" t="str">
        <f t="shared" si="33"/>
        <v/>
      </c>
      <c r="AD138" t="s">
        <v>1328</v>
      </c>
      <c r="AE138" t="s">
        <v>1329</v>
      </c>
      <c r="AF138" t="str">
        <f t="shared" si="34"/>
        <v>A679072</v>
      </c>
      <c r="AG138" t="str">
        <f>VLOOKUP(AF138,AKT!$C$4:$E$324,3,FALSE)</f>
        <v>0942</v>
      </c>
    </row>
    <row r="139" spans="1:33">
      <c r="A139" s="90"/>
      <c r="B139" s="85" t="str">
        <f t="shared" si="27"/>
        <v/>
      </c>
      <c r="C139" s="90"/>
      <c r="D139" s="85" t="str">
        <f t="shared" si="28"/>
        <v/>
      </c>
      <c r="E139" s="123"/>
      <c r="F139" s="85" t="str">
        <f t="shared" si="29"/>
        <v/>
      </c>
      <c r="G139" s="85" t="str">
        <f t="shared" si="30"/>
        <v/>
      </c>
      <c r="H139" s="122"/>
      <c r="I139" s="122"/>
      <c r="J139" s="122"/>
      <c r="K139" s="135"/>
      <c r="L139" s="134"/>
      <c r="M139" s="134"/>
      <c r="N139" s="135"/>
      <c r="O139" s="266"/>
      <c r="P139" s="89"/>
      <c r="R139" t="str">
        <f t="shared" si="31"/>
        <v/>
      </c>
      <c r="S139" t="str">
        <f t="shared" si="32"/>
        <v/>
      </c>
      <c r="T139" t="str">
        <f t="shared" si="33"/>
        <v/>
      </c>
      <c r="AD139" t="s">
        <v>1330</v>
      </c>
      <c r="AE139" t="s">
        <v>1331</v>
      </c>
      <c r="AF139" t="str">
        <f t="shared" si="34"/>
        <v>A679072</v>
      </c>
      <c r="AG139" t="str">
        <f>VLOOKUP(AF139,AKT!$C$4:$E$324,3,FALSE)</f>
        <v>0942</v>
      </c>
    </row>
    <row r="140" spans="1:33">
      <c r="A140" s="90"/>
      <c r="B140" s="85" t="str">
        <f t="shared" si="27"/>
        <v/>
      </c>
      <c r="C140" s="90"/>
      <c r="D140" s="85" t="str">
        <f t="shared" si="28"/>
        <v/>
      </c>
      <c r="E140" s="123"/>
      <c r="F140" s="85" t="str">
        <f t="shared" si="29"/>
        <v/>
      </c>
      <c r="G140" s="85" t="str">
        <f t="shared" si="30"/>
        <v/>
      </c>
      <c r="H140" s="122"/>
      <c r="I140" s="122"/>
      <c r="J140" s="122"/>
      <c r="K140" s="135"/>
      <c r="L140" s="134"/>
      <c r="M140" s="134"/>
      <c r="N140" s="135"/>
      <c r="O140" s="266"/>
      <c r="P140" s="89"/>
      <c r="R140" t="str">
        <f t="shared" si="31"/>
        <v/>
      </c>
      <c r="S140" t="str">
        <f t="shared" si="32"/>
        <v/>
      </c>
      <c r="T140" t="str">
        <f t="shared" si="33"/>
        <v/>
      </c>
      <c r="AD140" t="s">
        <v>1332</v>
      </c>
      <c r="AE140" t="s">
        <v>1333</v>
      </c>
      <c r="AF140" t="str">
        <f t="shared" si="34"/>
        <v>A679072</v>
      </c>
      <c r="AG140" t="str">
        <f>VLOOKUP(AF140,AKT!$C$4:$E$324,3,FALSE)</f>
        <v>0942</v>
      </c>
    </row>
    <row r="141" spans="1:33">
      <c r="A141" s="90"/>
      <c r="B141" s="85" t="str">
        <f t="shared" si="27"/>
        <v/>
      </c>
      <c r="C141" s="90"/>
      <c r="D141" s="85" t="str">
        <f t="shared" si="28"/>
        <v/>
      </c>
      <c r="E141" s="123"/>
      <c r="F141" s="85" t="str">
        <f t="shared" si="29"/>
        <v/>
      </c>
      <c r="G141" s="85" t="str">
        <f t="shared" si="30"/>
        <v/>
      </c>
      <c r="H141" s="122"/>
      <c r="I141" s="122"/>
      <c r="J141" s="122"/>
      <c r="K141" s="135"/>
      <c r="L141" s="134"/>
      <c r="M141" s="134"/>
      <c r="N141" s="135"/>
      <c r="O141" s="266"/>
      <c r="P141" s="89"/>
      <c r="R141" t="str">
        <f t="shared" si="31"/>
        <v/>
      </c>
      <c r="S141" t="str">
        <f t="shared" si="32"/>
        <v/>
      </c>
      <c r="T141" t="str">
        <f t="shared" si="33"/>
        <v/>
      </c>
      <c r="AD141" t="s">
        <v>1334</v>
      </c>
      <c r="AE141" t="s">
        <v>1335</v>
      </c>
      <c r="AF141" t="str">
        <f t="shared" si="34"/>
        <v>A679072</v>
      </c>
      <c r="AG141" t="str">
        <f>VLOOKUP(AF141,AKT!$C$4:$E$324,3,FALSE)</f>
        <v>0942</v>
      </c>
    </row>
    <row r="142" spans="1:33">
      <c r="A142" s="90"/>
      <c r="B142" s="85" t="str">
        <f t="shared" si="27"/>
        <v/>
      </c>
      <c r="C142" s="90"/>
      <c r="D142" s="85" t="str">
        <f t="shared" si="28"/>
        <v/>
      </c>
      <c r="E142" s="123"/>
      <c r="F142" s="85" t="str">
        <f t="shared" si="29"/>
        <v/>
      </c>
      <c r="G142" s="85" t="str">
        <f t="shared" si="30"/>
        <v/>
      </c>
      <c r="H142" s="122"/>
      <c r="I142" s="122"/>
      <c r="J142" s="122"/>
      <c r="K142" s="135"/>
      <c r="L142" s="134"/>
      <c r="M142" s="134"/>
      <c r="N142" s="135"/>
      <c r="O142" s="266"/>
      <c r="P142" s="89"/>
      <c r="R142" t="str">
        <f t="shared" si="31"/>
        <v/>
      </c>
      <c r="S142" t="str">
        <f t="shared" si="32"/>
        <v/>
      </c>
      <c r="T142" t="str">
        <f t="shared" si="33"/>
        <v/>
      </c>
      <c r="AD142" t="s">
        <v>1336</v>
      </c>
      <c r="AE142" t="s">
        <v>1337</v>
      </c>
      <c r="AF142" t="str">
        <f t="shared" si="34"/>
        <v>A679072</v>
      </c>
      <c r="AG142" t="str">
        <f>VLOOKUP(AF142,AKT!$C$4:$E$324,3,FALSE)</f>
        <v>0942</v>
      </c>
    </row>
    <row r="143" spans="1:33">
      <c r="A143" s="90"/>
      <c r="B143" s="85" t="str">
        <f t="shared" si="27"/>
        <v/>
      </c>
      <c r="C143" s="90"/>
      <c r="D143" s="85" t="str">
        <f t="shared" si="28"/>
        <v/>
      </c>
      <c r="E143" s="123"/>
      <c r="F143" s="85" t="str">
        <f t="shared" si="29"/>
        <v/>
      </c>
      <c r="G143" s="85" t="str">
        <f t="shared" si="30"/>
        <v/>
      </c>
      <c r="H143" s="122"/>
      <c r="I143" s="122"/>
      <c r="J143" s="122"/>
      <c r="K143" s="135"/>
      <c r="L143" s="134"/>
      <c r="M143" s="134"/>
      <c r="N143" s="135"/>
      <c r="O143" s="266"/>
      <c r="P143" s="89"/>
      <c r="R143" t="str">
        <f t="shared" si="31"/>
        <v/>
      </c>
      <c r="S143" t="str">
        <f t="shared" si="32"/>
        <v/>
      </c>
      <c r="T143" t="str">
        <f t="shared" si="33"/>
        <v/>
      </c>
      <c r="AD143" t="s">
        <v>1338</v>
      </c>
      <c r="AE143" t="s">
        <v>1339</v>
      </c>
      <c r="AF143" t="str">
        <f t="shared" si="34"/>
        <v>A679072</v>
      </c>
      <c r="AG143" t="str">
        <f>VLOOKUP(AF143,AKT!$C$4:$E$324,3,FALSE)</f>
        <v>0942</v>
      </c>
    </row>
    <row r="144" spans="1:33">
      <c r="A144" s="90"/>
      <c r="B144" s="85" t="str">
        <f t="shared" si="27"/>
        <v/>
      </c>
      <c r="C144" s="90"/>
      <c r="D144" s="85" t="str">
        <f t="shared" si="28"/>
        <v/>
      </c>
      <c r="E144" s="123"/>
      <c r="F144" s="85" t="str">
        <f t="shared" si="29"/>
        <v/>
      </c>
      <c r="G144" s="85" t="str">
        <f t="shared" si="30"/>
        <v/>
      </c>
      <c r="H144" s="122"/>
      <c r="I144" s="122"/>
      <c r="J144" s="122"/>
      <c r="K144" s="135"/>
      <c r="L144" s="134"/>
      <c r="M144" s="134"/>
      <c r="N144" s="135"/>
      <c r="O144" s="266"/>
      <c r="P144" s="89"/>
      <c r="R144" t="str">
        <f t="shared" si="31"/>
        <v/>
      </c>
      <c r="S144" t="str">
        <f t="shared" si="32"/>
        <v/>
      </c>
      <c r="T144" t="str">
        <f t="shared" si="33"/>
        <v/>
      </c>
      <c r="AD144" t="s">
        <v>2071</v>
      </c>
      <c r="AE144" t="s">
        <v>2072</v>
      </c>
      <c r="AF144" t="str">
        <f t="shared" si="34"/>
        <v>A679072</v>
      </c>
      <c r="AG144" t="str">
        <f>VLOOKUP(AF144,AKT!$C$4:$E$324,3,FALSE)</f>
        <v>0942</v>
      </c>
    </row>
    <row r="145" spans="1:33">
      <c r="A145" s="90"/>
      <c r="B145" s="85" t="str">
        <f t="shared" si="27"/>
        <v/>
      </c>
      <c r="C145" s="90"/>
      <c r="D145" s="85" t="str">
        <f t="shared" si="28"/>
        <v/>
      </c>
      <c r="E145" s="123"/>
      <c r="F145" s="85" t="str">
        <f t="shared" si="29"/>
        <v/>
      </c>
      <c r="G145" s="85" t="str">
        <f t="shared" si="30"/>
        <v/>
      </c>
      <c r="H145" s="122"/>
      <c r="I145" s="122"/>
      <c r="J145" s="122"/>
      <c r="K145" s="135"/>
      <c r="L145" s="134"/>
      <c r="M145" s="134"/>
      <c r="N145" s="135"/>
      <c r="O145" s="266"/>
      <c r="P145" s="89"/>
      <c r="R145" t="str">
        <f t="shared" si="31"/>
        <v/>
      </c>
      <c r="S145" t="str">
        <f t="shared" si="32"/>
        <v/>
      </c>
      <c r="T145" t="str">
        <f t="shared" si="33"/>
        <v/>
      </c>
      <c r="AD145" t="s">
        <v>2073</v>
      </c>
      <c r="AE145" t="s">
        <v>2074</v>
      </c>
      <c r="AF145" t="str">
        <f t="shared" si="34"/>
        <v>A679072</v>
      </c>
      <c r="AG145" t="str">
        <f>VLOOKUP(AF145,AKT!$C$4:$E$324,3,FALSE)</f>
        <v>0942</v>
      </c>
    </row>
    <row r="146" spans="1:33">
      <c r="A146" s="90"/>
      <c r="B146" s="85" t="str">
        <f t="shared" si="27"/>
        <v/>
      </c>
      <c r="C146" s="90"/>
      <c r="D146" s="85" t="str">
        <f t="shared" si="28"/>
        <v/>
      </c>
      <c r="E146" s="123"/>
      <c r="F146" s="85" t="str">
        <f t="shared" si="29"/>
        <v/>
      </c>
      <c r="G146" s="85" t="str">
        <f t="shared" si="30"/>
        <v/>
      </c>
      <c r="H146" s="122"/>
      <c r="I146" s="122"/>
      <c r="J146" s="122"/>
      <c r="K146" s="135"/>
      <c r="L146" s="134"/>
      <c r="M146" s="134"/>
      <c r="N146" s="135"/>
      <c r="O146" s="266"/>
      <c r="P146" s="89"/>
      <c r="R146" t="str">
        <f t="shared" si="31"/>
        <v/>
      </c>
      <c r="S146" t="str">
        <f t="shared" si="32"/>
        <v/>
      </c>
      <c r="T146" t="str">
        <f t="shared" si="33"/>
        <v/>
      </c>
      <c r="AD146" t="s">
        <v>2075</v>
      </c>
      <c r="AE146" t="s">
        <v>2076</v>
      </c>
      <c r="AF146" t="str">
        <f t="shared" si="34"/>
        <v>A679072</v>
      </c>
      <c r="AG146" t="str">
        <f>VLOOKUP(AF146,AKT!$C$4:$E$324,3,FALSE)</f>
        <v>0942</v>
      </c>
    </row>
    <row r="147" spans="1:33">
      <c r="A147" s="90"/>
      <c r="B147" s="85" t="str">
        <f t="shared" si="27"/>
        <v/>
      </c>
      <c r="C147" s="90"/>
      <c r="D147" s="85" t="str">
        <f t="shared" si="28"/>
        <v/>
      </c>
      <c r="E147" s="123"/>
      <c r="F147" s="85" t="str">
        <f t="shared" si="29"/>
        <v/>
      </c>
      <c r="G147" s="85" t="str">
        <f t="shared" si="30"/>
        <v/>
      </c>
      <c r="H147" s="122"/>
      <c r="I147" s="122"/>
      <c r="J147" s="122"/>
      <c r="K147" s="135"/>
      <c r="L147" s="134"/>
      <c r="M147" s="134"/>
      <c r="N147" s="135"/>
      <c r="O147" s="266"/>
      <c r="P147" s="89"/>
      <c r="R147" t="str">
        <f t="shared" si="31"/>
        <v/>
      </c>
      <c r="S147" t="str">
        <f t="shared" si="32"/>
        <v/>
      </c>
      <c r="T147" t="str">
        <f t="shared" si="33"/>
        <v/>
      </c>
      <c r="AD147" t="s">
        <v>2077</v>
      </c>
      <c r="AE147" t="s">
        <v>2078</v>
      </c>
      <c r="AF147" t="str">
        <f t="shared" si="34"/>
        <v>A679072</v>
      </c>
      <c r="AG147" t="str">
        <f>VLOOKUP(AF147,AKT!$C$4:$E$324,3,FALSE)</f>
        <v>0942</v>
      </c>
    </row>
    <row r="148" spans="1:33">
      <c r="A148" s="90"/>
      <c r="B148" s="85" t="str">
        <f t="shared" si="27"/>
        <v/>
      </c>
      <c r="C148" s="90"/>
      <c r="D148" s="85" t="str">
        <f t="shared" si="28"/>
        <v/>
      </c>
      <c r="E148" s="123"/>
      <c r="F148" s="85" t="str">
        <f t="shared" si="29"/>
        <v/>
      </c>
      <c r="G148" s="85" t="str">
        <f t="shared" si="30"/>
        <v/>
      </c>
      <c r="H148" s="122"/>
      <c r="I148" s="122"/>
      <c r="J148" s="122"/>
      <c r="K148" s="135"/>
      <c r="L148" s="134"/>
      <c r="M148" s="134"/>
      <c r="N148" s="135"/>
      <c r="O148" s="266"/>
      <c r="P148" s="89"/>
      <c r="R148" t="str">
        <f t="shared" si="31"/>
        <v/>
      </c>
      <c r="S148" t="str">
        <f t="shared" si="32"/>
        <v/>
      </c>
      <c r="T148" t="str">
        <f t="shared" si="33"/>
        <v/>
      </c>
      <c r="AD148" t="s">
        <v>2079</v>
      </c>
      <c r="AE148" t="s">
        <v>2080</v>
      </c>
      <c r="AF148" t="str">
        <f t="shared" si="34"/>
        <v>A679072</v>
      </c>
      <c r="AG148" t="str">
        <f>VLOOKUP(AF148,AKT!$C$4:$E$324,3,FALSE)</f>
        <v>0942</v>
      </c>
    </row>
    <row r="149" spans="1:33">
      <c r="A149" s="90"/>
      <c r="B149" s="85" t="str">
        <f t="shared" si="27"/>
        <v/>
      </c>
      <c r="C149" s="90"/>
      <c r="D149" s="85" t="str">
        <f t="shared" si="28"/>
        <v/>
      </c>
      <c r="E149" s="123"/>
      <c r="F149" s="85" t="str">
        <f t="shared" si="29"/>
        <v/>
      </c>
      <c r="G149" s="85" t="str">
        <f t="shared" si="30"/>
        <v/>
      </c>
      <c r="H149" s="122"/>
      <c r="I149" s="122"/>
      <c r="J149" s="122"/>
      <c r="K149" s="135"/>
      <c r="L149" s="134"/>
      <c r="M149" s="134"/>
      <c r="N149" s="135"/>
      <c r="O149" s="266"/>
      <c r="P149" s="89"/>
      <c r="R149" t="str">
        <f t="shared" si="31"/>
        <v/>
      </c>
      <c r="S149" t="str">
        <f t="shared" si="32"/>
        <v/>
      </c>
      <c r="T149" t="str">
        <f t="shared" si="33"/>
        <v/>
      </c>
      <c r="AD149" t="s">
        <v>2081</v>
      </c>
      <c r="AE149" t="s">
        <v>2082</v>
      </c>
      <c r="AF149" t="str">
        <f t="shared" si="34"/>
        <v>A679072</v>
      </c>
      <c r="AG149" t="str">
        <f>VLOOKUP(AF149,AKT!$C$4:$E$324,3,FALSE)</f>
        <v>0942</v>
      </c>
    </row>
    <row r="150" spans="1:33">
      <c r="A150" s="90"/>
      <c r="B150" s="85" t="str">
        <f t="shared" si="27"/>
        <v/>
      </c>
      <c r="C150" s="90"/>
      <c r="D150" s="85" t="str">
        <f t="shared" si="28"/>
        <v/>
      </c>
      <c r="E150" s="123"/>
      <c r="F150" s="85" t="str">
        <f t="shared" si="29"/>
        <v/>
      </c>
      <c r="G150" s="85" t="str">
        <f t="shared" si="30"/>
        <v/>
      </c>
      <c r="H150" s="122"/>
      <c r="I150" s="122"/>
      <c r="J150" s="122"/>
      <c r="K150" s="135"/>
      <c r="L150" s="134"/>
      <c r="M150" s="134"/>
      <c r="N150" s="135"/>
      <c r="O150" s="266"/>
      <c r="P150" s="89"/>
      <c r="R150" t="str">
        <f t="shared" si="31"/>
        <v/>
      </c>
      <c r="S150" t="str">
        <f t="shared" si="32"/>
        <v/>
      </c>
      <c r="T150" t="str">
        <f t="shared" si="33"/>
        <v/>
      </c>
      <c r="AD150" t="s">
        <v>2083</v>
      </c>
      <c r="AE150" t="s">
        <v>2084</v>
      </c>
      <c r="AF150" t="str">
        <f t="shared" si="34"/>
        <v>A679072</v>
      </c>
      <c r="AG150" t="str">
        <f>VLOOKUP(AF150,AKT!$C$4:$E$324,3,FALSE)</f>
        <v>0942</v>
      </c>
    </row>
    <row r="151" spans="1:33">
      <c r="A151" s="90"/>
      <c r="B151" s="85" t="str">
        <f t="shared" si="27"/>
        <v/>
      </c>
      <c r="C151" s="90"/>
      <c r="D151" s="85" t="str">
        <f t="shared" si="28"/>
        <v/>
      </c>
      <c r="E151" s="123"/>
      <c r="F151" s="85" t="str">
        <f t="shared" si="29"/>
        <v/>
      </c>
      <c r="G151" s="85" t="str">
        <f t="shared" si="30"/>
        <v/>
      </c>
      <c r="H151" s="122"/>
      <c r="I151" s="122"/>
      <c r="J151" s="122"/>
      <c r="K151" s="135"/>
      <c r="L151" s="134"/>
      <c r="M151" s="134"/>
      <c r="N151" s="135"/>
      <c r="O151" s="266"/>
      <c r="P151" s="89"/>
      <c r="R151" t="str">
        <f t="shared" si="31"/>
        <v/>
      </c>
      <c r="S151" t="str">
        <f t="shared" si="32"/>
        <v/>
      </c>
      <c r="T151" t="str">
        <f t="shared" si="33"/>
        <v/>
      </c>
      <c r="AD151" t="s">
        <v>2085</v>
      </c>
      <c r="AE151" t="s">
        <v>2086</v>
      </c>
      <c r="AF151" t="str">
        <f t="shared" si="34"/>
        <v>A679072</v>
      </c>
      <c r="AG151" t="str">
        <f>VLOOKUP(AF151,AKT!$C$4:$E$324,3,FALSE)</f>
        <v>0942</v>
      </c>
    </row>
    <row r="152" spans="1:33">
      <c r="A152" s="90"/>
      <c r="B152" s="85" t="str">
        <f t="shared" si="27"/>
        <v/>
      </c>
      <c r="C152" s="90"/>
      <c r="D152" s="85" t="str">
        <f t="shared" si="28"/>
        <v/>
      </c>
      <c r="E152" s="123"/>
      <c r="F152" s="85" t="str">
        <f t="shared" si="29"/>
        <v/>
      </c>
      <c r="G152" s="85" t="str">
        <f t="shared" si="30"/>
        <v/>
      </c>
      <c r="H152" s="122"/>
      <c r="I152" s="122"/>
      <c r="J152" s="122"/>
      <c r="K152" s="135"/>
      <c r="L152" s="134"/>
      <c r="M152" s="134"/>
      <c r="N152" s="135"/>
      <c r="O152" s="266"/>
      <c r="P152" s="89"/>
      <c r="R152" t="str">
        <f t="shared" si="31"/>
        <v/>
      </c>
      <c r="S152" t="str">
        <f t="shared" si="32"/>
        <v/>
      </c>
      <c r="T152" t="str">
        <f t="shared" si="33"/>
        <v/>
      </c>
      <c r="AD152" t="s">
        <v>2087</v>
      </c>
      <c r="AE152" t="s">
        <v>2088</v>
      </c>
      <c r="AF152" t="str">
        <f t="shared" si="34"/>
        <v>A679072</v>
      </c>
      <c r="AG152" t="str">
        <f>VLOOKUP(AF152,AKT!$C$4:$E$324,3,FALSE)</f>
        <v>0942</v>
      </c>
    </row>
    <row r="153" spans="1:33">
      <c r="A153" s="90"/>
      <c r="B153" s="85" t="str">
        <f t="shared" si="27"/>
        <v/>
      </c>
      <c r="C153" s="90"/>
      <c r="D153" s="85" t="str">
        <f t="shared" si="28"/>
        <v/>
      </c>
      <c r="E153" s="123"/>
      <c r="F153" s="85" t="str">
        <f t="shared" si="29"/>
        <v/>
      </c>
      <c r="G153" s="85" t="str">
        <f t="shared" si="30"/>
        <v/>
      </c>
      <c r="H153" s="122"/>
      <c r="I153" s="122"/>
      <c r="J153" s="122"/>
      <c r="K153" s="135"/>
      <c r="L153" s="134"/>
      <c r="M153" s="134"/>
      <c r="N153" s="135"/>
      <c r="O153" s="266"/>
      <c r="P153" s="89"/>
      <c r="R153" t="str">
        <f t="shared" si="31"/>
        <v/>
      </c>
      <c r="S153" t="str">
        <f t="shared" si="32"/>
        <v/>
      </c>
      <c r="T153" t="str">
        <f t="shared" si="33"/>
        <v/>
      </c>
      <c r="AD153" t="s">
        <v>2089</v>
      </c>
      <c r="AE153" t="s">
        <v>2090</v>
      </c>
      <c r="AF153" t="str">
        <f t="shared" si="34"/>
        <v>A679072</v>
      </c>
      <c r="AG153" t="str">
        <f>VLOOKUP(AF153,AKT!$C$4:$E$324,3,FALSE)</f>
        <v>0942</v>
      </c>
    </row>
    <row r="154" spans="1:33">
      <c r="A154" s="90"/>
      <c r="B154" s="85" t="str">
        <f t="shared" si="27"/>
        <v/>
      </c>
      <c r="C154" s="90"/>
      <c r="D154" s="85" t="str">
        <f t="shared" si="28"/>
        <v/>
      </c>
      <c r="E154" s="123"/>
      <c r="F154" s="85" t="str">
        <f t="shared" si="29"/>
        <v/>
      </c>
      <c r="G154" s="85" t="str">
        <f t="shared" si="30"/>
        <v/>
      </c>
      <c r="H154" s="122"/>
      <c r="I154" s="122"/>
      <c r="J154" s="122"/>
      <c r="K154" s="135"/>
      <c r="L154" s="134"/>
      <c r="M154" s="134"/>
      <c r="N154" s="135"/>
      <c r="O154" s="266"/>
      <c r="P154" s="89"/>
      <c r="R154" t="str">
        <f t="shared" si="31"/>
        <v/>
      </c>
      <c r="S154" t="str">
        <f t="shared" si="32"/>
        <v/>
      </c>
      <c r="T154" t="str">
        <f t="shared" si="33"/>
        <v/>
      </c>
      <c r="AD154" t="s">
        <v>2091</v>
      </c>
      <c r="AE154" t="s">
        <v>2034</v>
      </c>
      <c r="AF154" t="str">
        <f t="shared" si="34"/>
        <v>A679072</v>
      </c>
      <c r="AG154" t="str">
        <f>VLOOKUP(AF154,AKT!$C$4:$E$324,3,FALSE)</f>
        <v>0942</v>
      </c>
    </row>
    <row r="155" spans="1:33">
      <c r="A155" s="90"/>
      <c r="B155" s="85" t="str">
        <f t="shared" si="27"/>
        <v/>
      </c>
      <c r="C155" s="90"/>
      <c r="D155" s="85" t="str">
        <f t="shared" si="28"/>
        <v/>
      </c>
      <c r="E155" s="123"/>
      <c r="F155" s="85" t="str">
        <f t="shared" si="29"/>
        <v/>
      </c>
      <c r="G155" s="85" t="str">
        <f t="shared" si="30"/>
        <v/>
      </c>
      <c r="H155" s="122"/>
      <c r="I155" s="122"/>
      <c r="J155" s="122"/>
      <c r="K155" s="135"/>
      <c r="L155" s="134"/>
      <c r="M155" s="134"/>
      <c r="N155" s="135"/>
      <c r="O155" s="266"/>
      <c r="P155" s="89"/>
      <c r="R155" t="str">
        <f t="shared" si="31"/>
        <v/>
      </c>
      <c r="S155" t="str">
        <f t="shared" si="32"/>
        <v/>
      </c>
      <c r="T155" t="str">
        <f t="shared" si="33"/>
        <v/>
      </c>
      <c r="AD155" t="s">
        <v>2092</v>
      </c>
      <c r="AE155" t="s">
        <v>2093</v>
      </c>
      <c r="AF155" t="str">
        <f t="shared" si="34"/>
        <v>A679072</v>
      </c>
      <c r="AG155" t="str">
        <f>VLOOKUP(AF155,AKT!$C$4:$E$324,3,FALSE)</f>
        <v>0942</v>
      </c>
    </row>
    <row r="156" spans="1:33">
      <c r="A156" s="90"/>
      <c r="B156" s="85" t="str">
        <f t="shared" si="27"/>
        <v/>
      </c>
      <c r="C156" s="90"/>
      <c r="D156" s="85" t="str">
        <f t="shared" si="28"/>
        <v/>
      </c>
      <c r="E156" s="123"/>
      <c r="F156" s="85" t="str">
        <f t="shared" si="29"/>
        <v/>
      </c>
      <c r="G156" s="85" t="str">
        <f t="shared" si="30"/>
        <v/>
      </c>
      <c r="H156" s="122"/>
      <c r="I156" s="122"/>
      <c r="J156" s="122"/>
      <c r="K156" s="135"/>
      <c r="L156" s="134"/>
      <c r="M156" s="134"/>
      <c r="N156" s="135"/>
      <c r="O156" s="266"/>
      <c r="P156" s="89"/>
      <c r="R156" t="str">
        <f t="shared" si="31"/>
        <v/>
      </c>
      <c r="S156" t="str">
        <f t="shared" si="32"/>
        <v/>
      </c>
      <c r="T156" t="str">
        <f t="shared" si="33"/>
        <v/>
      </c>
      <c r="AD156" t="s">
        <v>2094</v>
      </c>
      <c r="AE156" t="s">
        <v>2095</v>
      </c>
      <c r="AF156" t="str">
        <f t="shared" si="34"/>
        <v>A679072</v>
      </c>
      <c r="AG156" t="str">
        <f>VLOOKUP(AF156,AKT!$C$4:$E$324,3,FALSE)</f>
        <v>0942</v>
      </c>
    </row>
    <row r="157" spans="1:33">
      <c r="A157" s="90"/>
      <c r="B157" s="85" t="str">
        <f t="shared" si="27"/>
        <v/>
      </c>
      <c r="C157" s="90"/>
      <c r="D157" s="85" t="str">
        <f t="shared" si="28"/>
        <v/>
      </c>
      <c r="E157" s="123"/>
      <c r="F157" s="85" t="str">
        <f t="shared" si="29"/>
        <v/>
      </c>
      <c r="G157" s="85" t="str">
        <f t="shared" si="30"/>
        <v/>
      </c>
      <c r="H157" s="122"/>
      <c r="I157" s="122"/>
      <c r="J157" s="122"/>
      <c r="K157" s="135"/>
      <c r="L157" s="134"/>
      <c r="M157" s="134"/>
      <c r="N157" s="135"/>
      <c r="O157" s="266"/>
      <c r="P157" s="89"/>
      <c r="R157" t="str">
        <f t="shared" si="31"/>
        <v/>
      </c>
      <c r="S157" t="str">
        <f t="shared" si="32"/>
        <v/>
      </c>
      <c r="T157" t="str">
        <f t="shared" si="33"/>
        <v/>
      </c>
      <c r="AD157" t="s">
        <v>2096</v>
      </c>
      <c r="AE157" t="s">
        <v>2097</v>
      </c>
      <c r="AF157" t="str">
        <f t="shared" si="34"/>
        <v>A679072</v>
      </c>
      <c r="AG157" t="str">
        <f>VLOOKUP(AF157,AKT!$C$4:$E$324,3,FALSE)</f>
        <v>0942</v>
      </c>
    </row>
    <row r="158" spans="1:33">
      <c r="A158" s="90"/>
      <c r="B158" s="85" t="str">
        <f t="shared" si="27"/>
        <v/>
      </c>
      <c r="C158" s="90"/>
      <c r="D158" s="85" t="str">
        <f t="shared" si="28"/>
        <v/>
      </c>
      <c r="E158" s="123"/>
      <c r="F158" s="85" t="str">
        <f t="shared" si="29"/>
        <v/>
      </c>
      <c r="G158" s="85" t="str">
        <f t="shared" si="30"/>
        <v/>
      </c>
      <c r="H158" s="122"/>
      <c r="I158" s="122"/>
      <c r="J158" s="122"/>
      <c r="K158" s="135"/>
      <c r="L158" s="134"/>
      <c r="M158" s="134"/>
      <c r="N158" s="135"/>
      <c r="O158" s="266"/>
      <c r="P158" s="89"/>
      <c r="R158" t="str">
        <f t="shared" si="31"/>
        <v/>
      </c>
      <c r="S158" t="str">
        <f t="shared" si="32"/>
        <v/>
      </c>
      <c r="T158" t="str">
        <f t="shared" si="33"/>
        <v/>
      </c>
      <c r="AD158" t="s">
        <v>2098</v>
      </c>
      <c r="AE158" t="s">
        <v>2099</v>
      </c>
      <c r="AF158" t="str">
        <f t="shared" si="34"/>
        <v>A679072</v>
      </c>
      <c r="AG158" t="str">
        <f>VLOOKUP(AF158,AKT!$C$4:$E$324,3,FALSE)</f>
        <v>0942</v>
      </c>
    </row>
    <row r="159" spans="1:33">
      <c r="A159" s="90"/>
      <c r="B159" s="85" t="str">
        <f t="shared" si="27"/>
        <v/>
      </c>
      <c r="C159" s="90"/>
      <c r="D159" s="85" t="str">
        <f t="shared" si="28"/>
        <v/>
      </c>
      <c r="E159" s="123"/>
      <c r="F159" s="85" t="str">
        <f t="shared" si="29"/>
        <v/>
      </c>
      <c r="G159" s="85" t="str">
        <f t="shared" si="30"/>
        <v/>
      </c>
      <c r="H159" s="122"/>
      <c r="I159" s="122"/>
      <c r="J159" s="122"/>
      <c r="K159" s="135"/>
      <c r="L159" s="134"/>
      <c r="M159" s="134"/>
      <c r="N159" s="135"/>
      <c r="O159" s="266"/>
      <c r="P159" s="89"/>
      <c r="R159" t="str">
        <f t="shared" si="31"/>
        <v/>
      </c>
      <c r="S159" t="str">
        <f t="shared" si="32"/>
        <v/>
      </c>
      <c r="T159" t="str">
        <f t="shared" si="33"/>
        <v/>
      </c>
      <c r="AD159" t="s">
        <v>2100</v>
      </c>
      <c r="AE159" t="s">
        <v>2101</v>
      </c>
      <c r="AF159" t="str">
        <f t="shared" si="34"/>
        <v>A679072</v>
      </c>
      <c r="AG159" t="str">
        <f>VLOOKUP(AF159,AKT!$C$4:$E$324,3,FALSE)</f>
        <v>0942</v>
      </c>
    </row>
    <row r="160" spans="1:33">
      <c r="A160" s="90"/>
      <c r="B160" s="85" t="str">
        <f t="shared" si="27"/>
        <v/>
      </c>
      <c r="C160" s="90"/>
      <c r="D160" s="85" t="str">
        <f t="shared" si="28"/>
        <v/>
      </c>
      <c r="E160" s="123"/>
      <c r="F160" s="85" t="str">
        <f t="shared" si="29"/>
        <v/>
      </c>
      <c r="G160" s="85" t="str">
        <f t="shared" si="30"/>
        <v/>
      </c>
      <c r="H160" s="122"/>
      <c r="I160" s="122"/>
      <c r="J160" s="122"/>
      <c r="K160" s="135"/>
      <c r="L160" s="134"/>
      <c r="M160" s="134"/>
      <c r="N160" s="135"/>
      <c r="O160" s="266"/>
      <c r="P160" s="89"/>
      <c r="R160" t="str">
        <f t="shared" si="31"/>
        <v/>
      </c>
      <c r="S160" t="str">
        <f t="shared" si="32"/>
        <v/>
      </c>
      <c r="T160" t="str">
        <f t="shared" si="33"/>
        <v/>
      </c>
      <c r="AD160" t="s">
        <v>2102</v>
      </c>
      <c r="AE160" t="s">
        <v>2103</v>
      </c>
      <c r="AF160" t="str">
        <f t="shared" si="34"/>
        <v>A679072</v>
      </c>
      <c r="AG160" t="str">
        <f>VLOOKUP(AF160,AKT!$C$4:$E$324,3,FALSE)</f>
        <v>0942</v>
      </c>
    </row>
    <row r="161" spans="1:33">
      <c r="A161" s="90"/>
      <c r="B161" s="85" t="str">
        <f t="shared" si="27"/>
        <v/>
      </c>
      <c r="C161" s="90"/>
      <c r="D161" s="85" t="str">
        <f t="shared" si="28"/>
        <v/>
      </c>
      <c r="E161" s="123"/>
      <c r="F161" s="85" t="str">
        <f t="shared" si="29"/>
        <v/>
      </c>
      <c r="G161" s="85" t="str">
        <f t="shared" si="30"/>
        <v/>
      </c>
      <c r="H161" s="122"/>
      <c r="I161" s="122"/>
      <c r="J161" s="122"/>
      <c r="K161" s="135"/>
      <c r="L161" s="134"/>
      <c r="M161" s="134"/>
      <c r="N161" s="135"/>
      <c r="O161" s="266"/>
      <c r="P161" s="89"/>
      <c r="R161" t="str">
        <f t="shared" si="31"/>
        <v/>
      </c>
      <c r="S161" t="str">
        <f t="shared" si="32"/>
        <v/>
      </c>
      <c r="T161" t="str">
        <f t="shared" si="33"/>
        <v/>
      </c>
      <c r="AD161" t="s">
        <v>2104</v>
      </c>
      <c r="AE161" t="s">
        <v>2105</v>
      </c>
      <c r="AF161" t="str">
        <f t="shared" si="34"/>
        <v>A679072</v>
      </c>
      <c r="AG161" t="str">
        <f>VLOOKUP(AF161,AKT!$C$4:$E$324,3,FALSE)</f>
        <v>0942</v>
      </c>
    </row>
    <row r="162" spans="1:33">
      <c r="A162" s="90"/>
      <c r="B162" s="85" t="str">
        <f t="shared" si="27"/>
        <v/>
      </c>
      <c r="C162" s="90"/>
      <c r="D162" s="85" t="str">
        <f t="shared" si="28"/>
        <v/>
      </c>
      <c r="E162" s="123"/>
      <c r="F162" s="85" t="str">
        <f t="shared" si="29"/>
        <v/>
      </c>
      <c r="G162" s="85" t="str">
        <f t="shared" si="30"/>
        <v/>
      </c>
      <c r="H162" s="122"/>
      <c r="I162" s="122"/>
      <c r="J162" s="122"/>
      <c r="K162" s="135"/>
      <c r="L162" s="134"/>
      <c r="M162" s="134"/>
      <c r="N162" s="135"/>
      <c r="O162" s="266"/>
      <c r="P162" s="89"/>
      <c r="R162" t="str">
        <f t="shared" si="31"/>
        <v/>
      </c>
      <c r="S162" t="str">
        <f t="shared" si="32"/>
        <v/>
      </c>
      <c r="T162" t="str">
        <f t="shared" si="33"/>
        <v/>
      </c>
      <c r="AD162" t="s">
        <v>2106</v>
      </c>
      <c r="AE162" t="s">
        <v>2107</v>
      </c>
      <c r="AF162" t="str">
        <f t="shared" si="34"/>
        <v>A679072</v>
      </c>
      <c r="AG162" t="str">
        <f>VLOOKUP(AF162,AKT!$C$4:$E$324,3,FALSE)</f>
        <v>0942</v>
      </c>
    </row>
    <row r="163" spans="1:33">
      <c r="A163" s="90"/>
      <c r="B163" s="85" t="str">
        <f t="shared" si="27"/>
        <v/>
      </c>
      <c r="C163" s="90"/>
      <c r="D163" s="85" t="str">
        <f t="shared" si="28"/>
        <v/>
      </c>
      <c r="E163" s="123"/>
      <c r="F163" s="85" t="str">
        <f t="shared" si="29"/>
        <v/>
      </c>
      <c r="G163" s="85" t="str">
        <f t="shared" si="30"/>
        <v/>
      </c>
      <c r="H163" s="122"/>
      <c r="I163" s="122"/>
      <c r="J163" s="122"/>
      <c r="K163" s="135"/>
      <c r="L163" s="134"/>
      <c r="M163" s="134"/>
      <c r="N163" s="135"/>
      <c r="O163" s="266"/>
      <c r="P163" s="89"/>
      <c r="R163" t="str">
        <f t="shared" si="31"/>
        <v/>
      </c>
      <c r="S163" t="str">
        <f t="shared" si="32"/>
        <v/>
      </c>
      <c r="T163" t="str">
        <f t="shared" si="33"/>
        <v/>
      </c>
      <c r="AD163" t="s">
        <v>2108</v>
      </c>
      <c r="AE163" t="s">
        <v>2109</v>
      </c>
      <c r="AF163" t="str">
        <f t="shared" si="34"/>
        <v>A679072</v>
      </c>
      <c r="AG163" t="str">
        <f>VLOOKUP(AF163,AKT!$C$4:$E$324,3,FALSE)</f>
        <v>0942</v>
      </c>
    </row>
    <row r="164" spans="1:33">
      <c r="A164" s="90"/>
      <c r="B164" s="85" t="str">
        <f t="shared" si="27"/>
        <v/>
      </c>
      <c r="C164" s="90"/>
      <c r="D164" s="85" t="str">
        <f t="shared" si="28"/>
        <v/>
      </c>
      <c r="E164" s="123"/>
      <c r="F164" s="85" t="str">
        <f t="shared" si="29"/>
        <v/>
      </c>
      <c r="G164" s="85" t="str">
        <f t="shared" si="30"/>
        <v/>
      </c>
      <c r="H164" s="122"/>
      <c r="I164" s="122"/>
      <c r="J164" s="122"/>
      <c r="K164" s="135"/>
      <c r="L164" s="134"/>
      <c r="M164" s="134"/>
      <c r="N164" s="135"/>
      <c r="O164" s="266"/>
      <c r="P164" s="89"/>
      <c r="R164" t="str">
        <f t="shared" si="31"/>
        <v/>
      </c>
      <c r="S164" t="str">
        <f t="shared" si="32"/>
        <v/>
      </c>
      <c r="T164" t="str">
        <f t="shared" si="33"/>
        <v/>
      </c>
      <c r="AD164" t="s">
        <v>2110</v>
      </c>
      <c r="AE164" t="s">
        <v>2111</v>
      </c>
      <c r="AF164" t="str">
        <f t="shared" si="34"/>
        <v>A679072</v>
      </c>
      <c r="AG164" t="str">
        <f>VLOOKUP(AF164,AKT!$C$4:$E$324,3,FALSE)</f>
        <v>0942</v>
      </c>
    </row>
    <row r="165" spans="1:33">
      <c r="A165" s="90"/>
      <c r="B165" s="85" t="str">
        <f t="shared" si="27"/>
        <v/>
      </c>
      <c r="C165" s="90"/>
      <c r="D165" s="85" t="str">
        <f t="shared" si="28"/>
        <v/>
      </c>
      <c r="E165" s="123"/>
      <c r="F165" s="85" t="str">
        <f t="shared" si="29"/>
        <v/>
      </c>
      <c r="G165" s="85" t="str">
        <f t="shared" si="30"/>
        <v/>
      </c>
      <c r="H165" s="122"/>
      <c r="I165" s="122"/>
      <c r="J165" s="122"/>
      <c r="K165" s="135"/>
      <c r="L165" s="134"/>
      <c r="M165" s="134"/>
      <c r="N165" s="135"/>
      <c r="O165" s="266"/>
      <c r="P165" s="89"/>
      <c r="R165" t="str">
        <f t="shared" si="31"/>
        <v/>
      </c>
      <c r="S165" t="str">
        <f t="shared" si="32"/>
        <v/>
      </c>
      <c r="T165" t="str">
        <f t="shared" si="33"/>
        <v/>
      </c>
      <c r="AD165" t="s">
        <v>2112</v>
      </c>
      <c r="AE165" t="s">
        <v>2113</v>
      </c>
      <c r="AF165" t="str">
        <f t="shared" si="34"/>
        <v>A679072</v>
      </c>
      <c r="AG165" t="str">
        <f>VLOOKUP(AF165,AKT!$C$4:$E$324,3,FALSE)</f>
        <v>0942</v>
      </c>
    </row>
    <row r="166" spans="1:33">
      <c r="A166" s="90"/>
      <c r="B166" s="85" t="str">
        <f t="shared" si="27"/>
        <v/>
      </c>
      <c r="C166" s="90"/>
      <c r="D166" s="85" t="str">
        <f t="shared" si="28"/>
        <v/>
      </c>
      <c r="E166" s="123"/>
      <c r="F166" s="85" t="str">
        <f t="shared" si="29"/>
        <v/>
      </c>
      <c r="G166" s="85" t="str">
        <f t="shared" si="30"/>
        <v/>
      </c>
      <c r="H166" s="122"/>
      <c r="I166" s="122"/>
      <c r="J166" s="122"/>
      <c r="K166" s="135"/>
      <c r="L166" s="134"/>
      <c r="M166" s="134"/>
      <c r="N166" s="135"/>
      <c r="O166" s="266"/>
      <c r="P166" s="89"/>
      <c r="R166" t="str">
        <f t="shared" si="31"/>
        <v/>
      </c>
      <c r="S166" t="str">
        <f t="shared" si="32"/>
        <v/>
      </c>
      <c r="T166" t="str">
        <f t="shared" si="33"/>
        <v/>
      </c>
      <c r="AD166" t="s">
        <v>2114</v>
      </c>
      <c r="AE166" t="s">
        <v>2115</v>
      </c>
      <c r="AF166" t="str">
        <f t="shared" si="34"/>
        <v>A679072</v>
      </c>
      <c r="AG166" t="str">
        <f>VLOOKUP(AF166,AKT!$C$4:$E$324,3,FALSE)</f>
        <v>0942</v>
      </c>
    </row>
    <row r="167" spans="1:33">
      <c r="A167" s="90"/>
      <c r="B167" s="85" t="str">
        <f t="shared" si="27"/>
        <v/>
      </c>
      <c r="C167" s="90"/>
      <c r="D167" s="85" t="str">
        <f t="shared" si="28"/>
        <v/>
      </c>
      <c r="E167" s="123"/>
      <c r="F167" s="85" t="str">
        <f t="shared" si="29"/>
        <v/>
      </c>
      <c r="G167" s="85" t="str">
        <f t="shared" si="30"/>
        <v/>
      </c>
      <c r="H167" s="122"/>
      <c r="I167" s="122"/>
      <c r="J167" s="122"/>
      <c r="K167" s="135"/>
      <c r="L167" s="134"/>
      <c r="M167" s="134"/>
      <c r="N167" s="135"/>
      <c r="O167" s="266"/>
      <c r="P167" s="89"/>
      <c r="R167" t="str">
        <f t="shared" si="31"/>
        <v/>
      </c>
      <c r="S167" t="str">
        <f t="shared" si="32"/>
        <v/>
      </c>
      <c r="T167" t="str">
        <f t="shared" si="33"/>
        <v/>
      </c>
      <c r="AD167" t="s">
        <v>2116</v>
      </c>
      <c r="AE167" t="s">
        <v>2117</v>
      </c>
      <c r="AF167" t="str">
        <f t="shared" si="34"/>
        <v>A679072</v>
      </c>
      <c r="AG167" t="str">
        <f>VLOOKUP(AF167,AKT!$C$4:$E$324,3,FALSE)</f>
        <v>0942</v>
      </c>
    </row>
    <row r="168" spans="1:33">
      <c r="A168" s="90"/>
      <c r="B168" s="85" t="str">
        <f t="shared" si="27"/>
        <v/>
      </c>
      <c r="C168" s="90"/>
      <c r="D168" s="85" t="str">
        <f t="shared" si="28"/>
        <v/>
      </c>
      <c r="E168" s="123"/>
      <c r="F168" s="85" t="str">
        <f t="shared" si="29"/>
        <v/>
      </c>
      <c r="G168" s="85" t="str">
        <f t="shared" si="30"/>
        <v/>
      </c>
      <c r="H168" s="122"/>
      <c r="I168" s="122"/>
      <c r="J168" s="122"/>
      <c r="K168" s="135"/>
      <c r="L168" s="134"/>
      <c r="M168" s="134"/>
      <c r="N168" s="135"/>
      <c r="O168" s="266"/>
      <c r="P168" s="89"/>
      <c r="R168" t="str">
        <f t="shared" si="31"/>
        <v/>
      </c>
      <c r="S168" t="str">
        <f t="shared" si="32"/>
        <v/>
      </c>
      <c r="T168" t="str">
        <f t="shared" si="33"/>
        <v/>
      </c>
      <c r="AD168" t="s">
        <v>2118</v>
      </c>
      <c r="AE168" t="s">
        <v>2119</v>
      </c>
      <c r="AF168" t="str">
        <f t="shared" si="34"/>
        <v>A679072</v>
      </c>
      <c r="AG168" t="str">
        <f>VLOOKUP(AF168,AKT!$C$4:$E$324,3,FALSE)</f>
        <v>0942</v>
      </c>
    </row>
    <row r="169" spans="1:33">
      <c r="A169" s="90"/>
      <c r="B169" s="85" t="str">
        <f t="shared" si="27"/>
        <v/>
      </c>
      <c r="C169" s="90"/>
      <c r="D169" s="85" t="str">
        <f t="shared" si="28"/>
        <v/>
      </c>
      <c r="E169" s="123"/>
      <c r="F169" s="85" t="str">
        <f t="shared" si="29"/>
        <v/>
      </c>
      <c r="G169" s="85" t="str">
        <f t="shared" si="30"/>
        <v/>
      </c>
      <c r="H169" s="122"/>
      <c r="I169" s="122"/>
      <c r="J169" s="122"/>
      <c r="K169" s="135"/>
      <c r="L169" s="134"/>
      <c r="M169" s="134"/>
      <c r="N169" s="135"/>
      <c r="O169" s="266"/>
      <c r="P169" s="89"/>
      <c r="R169" t="str">
        <f t="shared" si="31"/>
        <v/>
      </c>
      <c r="S169" t="str">
        <f t="shared" si="32"/>
        <v/>
      </c>
      <c r="T169" t="str">
        <f t="shared" si="33"/>
        <v/>
      </c>
      <c r="AD169" t="s">
        <v>2120</v>
      </c>
      <c r="AE169" t="s">
        <v>2121</v>
      </c>
      <c r="AF169" t="str">
        <f t="shared" si="34"/>
        <v>A679072</v>
      </c>
      <c r="AG169" t="str">
        <f>VLOOKUP(AF169,AKT!$C$4:$E$324,3,FALSE)</f>
        <v>0942</v>
      </c>
    </row>
    <row r="170" spans="1:33">
      <c r="A170" s="90"/>
      <c r="B170" s="85" t="str">
        <f t="shared" si="27"/>
        <v/>
      </c>
      <c r="C170" s="90"/>
      <c r="D170" s="85" t="str">
        <f t="shared" si="28"/>
        <v/>
      </c>
      <c r="E170" s="123"/>
      <c r="F170" s="85" t="str">
        <f t="shared" si="29"/>
        <v/>
      </c>
      <c r="G170" s="85" t="str">
        <f t="shared" si="30"/>
        <v/>
      </c>
      <c r="H170" s="122"/>
      <c r="I170" s="122"/>
      <c r="J170" s="122"/>
      <c r="K170" s="135"/>
      <c r="L170" s="134"/>
      <c r="M170" s="134"/>
      <c r="N170" s="135"/>
      <c r="O170" s="266"/>
      <c r="P170" s="89"/>
      <c r="R170" t="str">
        <f t="shared" si="31"/>
        <v/>
      </c>
      <c r="S170" t="str">
        <f t="shared" si="32"/>
        <v/>
      </c>
      <c r="T170" t="str">
        <f t="shared" si="33"/>
        <v/>
      </c>
      <c r="AD170" t="s">
        <v>2122</v>
      </c>
      <c r="AE170" t="s">
        <v>2123</v>
      </c>
      <c r="AF170" t="str">
        <f t="shared" si="34"/>
        <v>A679072</v>
      </c>
      <c r="AG170" t="str">
        <f>VLOOKUP(AF170,AKT!$C$4:$E$324,3,FALSE)</f>
        <v>0942</v>
      </c>
    </row>
    <row r="171" spans="1:33">
      <c r="A171" s="90"/>
      <c r="B171" s="85" t="str">
        <f t="shared" si="27"/>
        <v/>
      </c>
      <c r="C171" s="90"/>
      <c r="D171" s="85" t="str">
        <f t="shared" si="28"/>
        <v/>
      </c>
      <c r="E171" s="123"/>
      <c r="F171" s="85" t="str">
        <f t="shared" si="29"/>
        <v/>
      </c>
      <c r="G171" s="85" t="str">
        <f t="shared" si="30"/>
        <v/>
      </c>
      <c r="H171" s="122"/>
      <c r="I171" s="122"/>
      <c r="J171" s="122"/>
      <c r="K171" s="135"/>
      <c r="L171" s="134"/>
      <c r="M171" s="134"/>
      <c r="N171" s="135"/>
      <c r="O171" s="266"/>
      <c r="P171" s="89"/>
      <c r="R171" t="str">
        <f t="shared" si="31"/>
        <v/>
      </c>
      <c r="S171" t="str">
        <f t="shared" si="32"/>
        <v/>
      </c>
      <c r="T171" t="str">
        <f t="shared" si="33"/>
        <v/>
      </c>
      <c r="AD171" t="s">
        <v>2124</v>
      </c>
      <c r="AE171" t="s">
        <v>2125</v>
      </c>
      <c r="AF171" t="str">
        <f t="shared" si="34"/>
        <v>A679072</v>
      </c>
      <c r="AG171" t="str">
        <f>VLOOKUP(AF171,AKT!$C$4:$E$324,3,FALSE)</f>
        <v>0942</v>
      </c>
    </row>
    <row r="172" spans="1:33">
      <c r="A172" s="90"/>
      <c r="B172" s="85" t="str">
        <f t="shared" si="27"/>
        <v/>
      </c>
      <c r="C172" s="90"/>
      <c r="D172" s="85" t="str">
        <f t="shared" si="28"/>
        <v/>
      </c>
      <c r="E172" s="123"/>
      <c r="F172" s="85" t="str">
        <f t="shared" si="29"/>
        <v/>
      </c>
      <c r="G172" s="85" t="str">
        <f t="shared" si="30"/>
        <v/>
      </c>
      <c r="H172" s="122"/>
      <c r="I172" s="122"/>
      <c r="J172" s="122"/>
      <c r="K172" s="135"/>
      <c r="L172" s="134"/>
      <c r="M172" s="134"/>
      <c r="N172" s="135"/>
      <c r="O172" s="266"/>
      <c r="P172" s="89"/>
      <c r="R172" t="str">
        <f t="shared" si="31"/>
        <v/>
      </c>
      <c r="S172" t="str">
        <f t="shared" si="32"/>
        <v/>
      </c>
      <c r="T172" t="str">
        <f t="shared" si="33"/>
        <v/>
      </c>
      <c r="AD172" t="s">
        <v>2126</v>
      </c>
      <c r="AE172" t="s">
        <v>2127</v>
      </c>
      <c r="AF172" t="str">
        <f t="shared" si="34"/>
        <v>A679072</v>
      </c>
      <c r="AG172" t="str">
        <f>VLOOKUP(AF172,AKT!$C$4:$E$324,3,FALSE)</f>
        <v>0942</v>
      </c>
    </row>
    <row r="173" spans="1:33">
      <c r="A173" s="90"/>
      <c r="B173" s="85" t="str">
        <f t="shared" si="27"/>
        <v/>
      </c>
      <c r="C173" s="90"/>
      <c r="D173" s="85" t="str">
        <f t="shared" si="28"/>
        <v/>
      </c>
      <c r="E173" s="123"/>
      <c r="F173" s="85" t="str">
        <f t="shared" si="29"/>
        <v/>
      </c>
      <c r="G173" s="85" t="str">
        <f t="shared" si="30"/>
        <v/>
      </c>
      <c r="H173" s="122"/>
      <c r="I173" s="122"/>
      <c r="J173" s="122"/>
      <c r="K173" s="135"/>
      <c r="L173" s="134"/>
      <c r="M173" s="134"/>
      <c r="N173" s="135"/>
      <c r="O173" s="266"/>
      <c r="P173" s="89"/>
      <c r="R173" t="str">
        <f t="shared" si="31"/>
        <v/>
      </c>
      <c r="S173" t="str">
        <f t="shared" si="32"/>
        <v/>
      </c>
      <c r="T173" t="str">
        <f t="shared" si="33"/>
        <v/>
      </c>
      <c r="AD173" t="s">
        <v>2128</v>
      </c>
      <c r="AE173" t="s">
        <v>2129</v>
      </c>
      <c r="AF173" t="str">
        <f t="shared" si="34"/>
        <v>A679072</v>
      </c>
      <c r="AG173" t="str">
        <f>VLOOKUP(AF173,AKT!$C$4:$E$324,3,FALSE)</f>
        <v>0942</v>
      </c>
    </row>
    <row r="174" spans="1:33">
      <c r="A174" s="90"/>
      <c r="B174" s="85" t="str">
        <f t="shared" si="27"/>
        <v/>
      </c>
      <c r="C174" s="90"/>
      <c r="D174" s="85" t="str">
        <f t="shared" si="28"/>
        <v/>
      </c>
      <c r="E174" s="123"/>
      <c r="F174" s="85" t="str">
        <f t="shared" si="29"/>
        <v/>
      </c>
      <c r="G174" s="85" t="str">
        <f t="shared" si="30"/>
        <v/>
      </c>
      <c r="H174" s="122"/>
      <c r="I174" s="122"/>
      <c r="J174" s="122"/>
      <c r="K174" s="135"/>
      <c r="L174" s="134"/>
      <c r="M174" s="134"/>
      <c r="N174" s="135"/>
      <c r="O174" s="266"/>
      <c r="P174" s="89"/>
      <c r="R174" t="str">
        <f t="shared" si="31"/>
        <v/>
      </c>
      <c r="S174" t="str">
        <f t="shared" si="32"/>
        <v/>
      </c>
      <c r="T174" t="str">
        <f t="shared" si="33"/>
        <v/>
      </c>
      <c r="AD174" t="s">
        <v>2130</v>
      </c>
      <c r="AE174" t="s">
        <v>2131</v>
      </c>
      <c r="AF174" t="str">
        <f t="shared" si="34"/>
        <v>A679072</v>
      </c>
      <c r="AG174" t="str">
        <f>VLOOKUP(AF174,AKT!$C$4:$E$324,3,FALSE)</f>
        <v>0942</v>
      </c>
    </row>
    <row r="175" spans="1:33">
      <c r="A175" s="90"/>
      <c r="B175" s="85" t="str">
        <f t="shared" si="27"/>
        <v/>
      </c>
      <c r="C175" s="90"/>
      <c r="D175" s="85" t="str">
        <f t="shared" si="28"/>
        <v/>
      </c>
      <c r="E175" s="123"/>
      <c r="F175" s="85" t="str">
        <f t="shared" si="29"/>
        <v/>
      </c>
      <c r="G175" s="85" t="str">
        <f t="shared" si="30"/>
        <v/>
      </c>
      <c r="H175" s="122"/>
      <c r="I175" s="122"/>
      <c r="J175" s="122"/>
      <c r="K175" s="135"/>
      <c r="L175" s="134"/>
      <c r="M175" s="134"/>
      <c r="N175" s="135"/>
      <c r="O175" s="266"/>
      <c r="P175" s="89"/>
      <c r="R175" t="str">
        <f t="shared" si="31"/>
        <v/>
      </c>
      <c r="S175" t="str">
        <f t="shared" si="32"/>
        <v/>
      </c>
      <c r="T175" t="str">
        <f t="shared" si="33"/>
        <v/>
      </c>
      <c r="AD175" t="s">
        <v>2132</v>
      </c>
      <c r="AE175" t="s">
        <v>2133</v>
      </c>
      <c r="AF175" t="str">
        <f t="shared" si="34"/>
        <v>A679072</v>
      </c>
      <c r="AG175" t="str">
        <f>VLOOKUP(AF175,AKT!$C$4:$E$324,3,FALSE)</f>
        <v>0942</v>
      </c>
    </row>
    <row r="176" spans="1:33">
      <c r="A176" s="90"/>
      <c r="B176" s="85" t="str">
        <f t="shared" si="27"/>
        <v/>
      </c>
      <c r="C176" s="90"/>
      <c r="D176" s="85" t="str">
        <f t="shared" si="28"/>
        <v/>
      </c>
      <c r="E176" s="123"/>
      <c r="F176" s="85" t="str">
        <f t="shared" si="29"/>
        <v/>
      </c>
      <c r="G176" s="85" t="str">
        <f t="shared" si="30"/>
        <v/>
      </c>
      <c r="H176" s="122"/>
      <c r="I176" s="122"/>
      <c r="J176" s="122"/>
      <c r="K176" s="135"/>
      <c r="L176" s="134"/>
      <c r="M176" s="134"/>
      <c r="N176" s="135"/>
      <c r="O176" s="266"/>
      <c r="P176" s="89"/>
      <c r="R176" t="str">
        <f t="shared" si="31"/>
        <v/>
      </c>
      <c r="S176" t="str">
        <f t="shared" si="32"/>
        <v/>
      </c>
      <c r="T176" t="str">
        <f t="shared" si="33"/>
        <v/>
      </c>
      <c r="AD176" t="s">
        <v>2134</v>
      </c>
      <c r="AE176" t="s">
        <v>2135</v>
      </c>
      <c r="AF176" t="str">
        <f t="shared" si="34"/>
        <v>A679072</v>
      </c>
      <c r="AG176" t="str">
        <f>VLOOKUP(AF176,AKT!$C$4:$E$324,3,FALSE)</f>
        <v>0942</v>
      </c>
    </row>
    <row r="177" spans="1:33">
      <c r="A177" s="90"/>
      <c r="B177" s="85" t="str">
        <f t="shared" si="27"/>
        <v/>
      </c>
      <c r="C177" s="90"/>
      <c r="D177" s="85" t="str">
        <f t="shared" si="28"/>
        <v/>
      </c>
      <c r="E177" s="123"/>
      <c r="F177" s="85" t="str">
        <f t="shared" si="29"/>
        <v/>
      </c>
      <c r="G177" s="85" t="str">
        <f t="shared" si="30"/>
        <v/>
      </c>
      <c r="H177" s="122"/>
      <c r="I177" s="122"/>
      <c r="J177" s="122"/>
      <c r="K177" s="135"/>
      <c r="L177" s="134"/>
      <c r="M177" s="134"/>
      <c r="N177" s="135"/>
      <c r="O177" s="266"/>
      <c r="P177" s="89"/>
      <c r="R177" t="str">
        <f t="shared" si="31"/>
        <v/>
      </c>
      <c r="S177" t="str">
        <f t="shared" si="32"/>
        <v/>
      </c>
      <c r="T177" t="str">
        <f t="shared" si="33"/>
        <v/>
      </c>
      <c r="AD177" t="s">
        <v>2136</v>
      </c>
      <c r="AE177" t="s">
        <v>2137</v>
      </c>
      <c r="AF177" t="str">
        <f t="shared" si="34"/>
        <v>A679072</v>
      </c>
      <c r="AG177" t="str">
        <f>VLOOKUP(AF177,AKT!$C$4:$E$324,3,FALSE)</f>
        <v>0942</v>
      </c>
    </row>
    <row r="178" spans="1:33">
      <c r="A178" s="90"/>
      <c r="B178" s="85" t="str">
        <f t="shared" si="27"/>
        <v/>
      </c>
      <c r="C178" s="90"/>
      <c r="D178" s="85" t="str">
        <f t="shared" si="28"/>
        <v/>
      </c>
      <c r="E178" s="123"/>
      <c r="F178" s="85" t="str">
        <f t="shared" si="29"/>
        <v/>
      </c>
      <c r="G178" s="85" t="str">
        <f t="shared" si="30"/>
        <v/>
      </c>
      <c r="H178" s="122"/>
      <c r="I178" s="122"/>
      <c r="J178" s="122"/>
      <c r="K178" s="135"/>
      <c r="L178" s="134"/>
      <c r="M178" s="134"/>
      <c r="N178" s="135"/>
      <c r="O178" s="266"/>
      <c r="P178" s="89"/>
      <c r="R178" t="str">
        <f t="shared" si="31"/>
        <v/>
      </c>
      <c r="S178" t="str">
        <f t="shared" si="32"/>
        <v/>
      </c>
      <c r="T178" t="str">
        <f t="shared" si="33"/>
        <v/>
      </c>
      <c r="AD178" t="s">
        <v>2138</v>
      </c>
      <c r="AE178" t="s">
        <v>2139</v>
      </c>
      <c r="AF178" t="str">
        <f t="shared" si="34"/>
        <v>A679072</v>
      </c>
      <c r="AG178" t="str">
        <f>VLOOKUP(AF178,AKT!$C$4:$E$324,3,FALSE)</f>
        <v>0942</v>
      </c>
    </row>
    <row r="179" spans="1:33">
      <c r="A179" s="90"/>
      <c r="B179" s="85" t="str">
        <f t="shared" si="27"/>
        <v/>
      </c>
      <c r="C179" s="90"/>
      <c r="D179" s="85" t="str">
        <f t="shared" si="28"/>
        <v/>
      </c>
      <c r="E179" s="123"/>
      <c r="F179" s="85" t="str">
        <f t="shared" si="29"/>
        <v/>
      </c>
      <c r="G179" s="85" t="str">
        <f t="shared" si="30"/>
        <v/>
      </c>
      <c r="H179" s="122"/>
      <c r="I179" s="122"/>
      <c r="J179" s="122"/>
      <c r="K179" s="135"/>
      <c r="L179" s="134"/>
      <c r="M179" s="134"/>
      <c r="N179" s="135"/>
      <c r="O179" s="266"/>
      <c r="P179" s="89"/>
      <c r="R179" t="str">
        <f t="shared" si="31"/>
        <v/>
      </c>
      <c r="S179" t="str">
        <f t="shared" si="32"/>
        <v/>
      </c>
      <c r="T179" t="str">
        <f t="shared" si="33"/>
        <v/>
      </c>
      <c r="AD179" t="s">
        <v>2140</v>
      </c>
      <c r="AE179" t="s">
        <v>2141</v>
      </c>
      <c r="AF179" t="str">
        <f t="shared" si="34"/>
        <v>A679072</v>
      </c>
      <c r="AG179" t="str">
        <f>VLOOKUP(AF179,AKT!$C$4:$E$324,3,FALSE)</f>
        <v>0942</v>
      </c>
    </row>
    <row r="180" spans="1:33">
      <c r="A180" s="90"/>
      <c r="B180" s="85" t="str">
        <f t="shared" si="27"/>
        <v/>
      </c>
      <c r="C180" s="90"/>
      <c r="D180" s="85" t="str">
        <f t="shared" si="28"/>
        <v/>
      </c>
      <c r="E180" s="123"/>
      <c r="F180" s="85" t="str">
        <f t="shared" si="29"/>
        <v/>
      </c>
      <c r="G180" s="85" t="str">
        <f t="shared" si="30"/>
        <v/>
      </c>
      <c r="H180" s="122"/>
      <c r="I180" s="122"/>
      <c r="J180" s="122"/>
      <c r="K180" s="135"/>
      <c r="L180" s="134"/>
      <c r="M180" s="134"/>
      <c r="N180" s="135"/>
      <c r="O180" s="266"/>
      <c r="P180" s="89"/>
      <c r="R180" t="str">
        <f t="shared" si="31"/>
        <v/>
      </c>
      <c r="S180" t="str">
        <f t="shared" si="32"/>
        <v/>
      </c>
      <c r="T180" t="str">
        <f t="shared" si="33"/>
        <v/>
      </c>
      <c r="AD180" t="s">
        <v>2142</v>
      </c>
      <c r="AE180" t="s">
        <v>2143</v>
      </c>
      <c r="AF180" t="str">
        <f t="shared" si="34"/>
        <v>A679072</v>
      </c>
      <c r="AG180" t="str">
        <f>VLOOKUP(AF180,AKT!$C$4:$E$324,3,FALSE)</f>
        <v>0942</v>
      </c>
    </row>
    <row r="181" spans="1:33">
      <c r="A181" s="90"/>
      <c r="B181" s="85" t="str">
        <f t="shared" si="27"/>
        <v/>
      </c>
      <c r="C181" s="90"/>
      <c r="D181" s="85" t="str">
        <f t="shared" si="28"/>
        <v/>
      </c>
      <c r="E181" s="123"/>
      <c r="F181" s="85" t="str">
        <f t="shared" si="29"/>
        <v/>
      </c>
      <c r="G181" s="85" t="str">
        <f t="shared" si="30"/>
        <v/>
      </c>
      <c r="H181" s="122"/>
      <c r="I181" s="122"/>
      <c r="J181" s="122"/>
      <c r="K181" s="135"/>
      <c r="L181" s="134"/>
      <c r="M181" s="134"/>
      <c r="N181" s="135"/>
      <c r="O181" s="266"/>
      <c r="P181" s="89"/>
      <c r="R181" t="str">
        <f t="shared" si="31"/>
        <v/>
      </c>
      <c r="S181" t="str">
        <f t="shared" si="32"/>
        <v/>
      </c>
      <c r="T181" t="str">
        <f t="shared" si="33"/>
        <v/>
      </c>
      <c r="AD181" t="s">
        <v>2144</v>
      </c>
      <c r="AE181" t="s">
        <v>2145</v>
      </c>
      <c r="AF181" t="str">
        <f t="shared" si="34"/>
        <v>A679072</v>
      </c>
      <c r="AG181" t="str">
        <f>VLOOKUP(AF181,AKT!$C$4:$E$324,3,FALSE)</f>
        <v>0942</v>
      </c>
    </row>
    <row r="182" spans="1:33">
      <c r="A182" s="90"/>
      <c r="B182" s="85" t="str">
        <f t="shared" si="27"/>
        <v/>
      </c>
      <c r="C182" s="90"/>
      <c r="D182" s="85" t="str">
        <f t="shared" si="28"/>
        <v/>
      </c>
      <c r="E182" s="123"/>
      <c r="F182" s="85" t="str">
        <f t="shared" si="29"/>
        <v/>
      </c>
      <c r="G182" s="85" t="str">
        <f t="shared" si="30"/>
        <v/>
      </c>
      <c r="H182" s="122"/>
      <c r="I182" s="122"/>
      <c r="J182" s="122"/>
      <c r="K182" s="135"/>
      <c r="L182" s="134"/>
      <c r="M182" s="134"/>
      <c r="N182" s="135"/>
      <c r="O182" s="266"/>
      <c r="P182" s="89"/>
      <c r="R182" t="str">
        <f t="shared" si="31"/>
        <v/>
      </c>
      <c r="S182" t="str">
        <f t="shared" si="32"/>
        <v/>
      </c>
      <c r="T182" t="str">
        <f t="shared" si="33"/>
        <v/>
      </c>
      <c r="AD182" t="s">
        <v>2146</v>
      </c>
      <c r="AE182" t="s">
        <v>2147</v>
      </c>
      <c r="AF182" t="str">
        <f t="shared" si="34"/>
        <v>A679072</v>
      </c>
      <c r="AG182" t="str">
        <f>VLOOKUP(AF182,AKT!$C$4:$E$324,3,FALSE)</f>
        <v>0942</v>
      </c>
    </row>
    <row r="183" spans="1:33">
      <c r="A183" s="90"/>
      <c r="B183" s="85" t="str">
        <f t="shared" si="27"/>
        <v/>
      </c>
      <c r="C183" s="90"/>
      <c r="D183" s="85" t="str">
        <f t="shared" si="28"/>
        <v/>
      </c>
      <c r="E183" s="123"/>
      <c r="F183" s="85" t="str">
        <f t="shared" si="29"/>
        <v/>
      </c>
      <c r="G183" s="85" t="str">
        <f t="shared" si="30"/>
        <v/>
      </c>
      <c r="H183" s="122"/>
      <c r="I183" s="122"/>
      <c r="J183" s="122"/>
      <c r="K183" s="135"/>
      <c r="L183" s="134"/>
      <c r="M183" s="134"/>
      <c r="N183" s="135"/>
      <c r="O183" s="266"/>
      <c r="P183" s="89"/>
      <c r="R183" t="str">
        <f t="shared" si="31"/>
        <v/>
      </c>
      <c r="S183" t="str">
        <f t="shared" si="32"/>
        <v/>
      </c>
      <c r="T183" t="str">
        <f t="shared" si="33"/>
        <v/>
      </c>
      <c r="AD183" t="s">
        <v>2148</v>
      </c>
      <c r="AE183" t="s">
        <v>2149</v>
      </c>
      <c r="AF183" t="str">
        <f t="shared" si="34"/>
        <v>A679072</v>
      </c>
      <c r="AG183" t="str">
        <f>VLOOKUP(AF183,AKT!$C$4:$E$324,3,FALSE)</f>
        <v>0942</v>
      </c>
    </row>
    <row r="184" spans="1:33">
      <c r="A184" s="90"/>
      <c r="B184" s="85" t="str">
        <f t="shared" si="27"/>
        <v/>
      </c>
      <c r="C184" s="90"/>
      <c r="D184" s="85" t="str">
        <f t="shared" si="28"/>
        <v/>
      </c>
      <c r="E184" s="123"/>
      <c r="F184" s="85" t="str">
        <f t="shared" si="29"/>
        <v/>
      </c>
      <c r="G184" s="85" t="str">
        <f t="shared" si="30"/>
        <v/>
      </c>
      <c r="H184" s="122"/>
      <c r="I184" s="122"/>
      <c r="J184" s="122"/>
      <c r="K184" s="135"/>
      <c r="L184" s="134"/>
      <c r="M184" s="134"/>
      <c r="N184" s="135"/>
      <c r="O184" s="266"/>
      <c r="P184" s="89"/>
      <c r="R184" t="str">
        <f t="shared" si="31"/>
        <v/>
      </c>
      <c r="S184" t="str">
        <f t="shared" si="32"/>
        <v/>
      </c>
      <c r="T184" t="str">
        <f t="shared" si="33"/>
        <v/>
      </c>
      <c r="AD184" t="s">
        <v>2150</v>
      </c>
      <c r="AE184" t="s">
        <v>2151</v>
      </c>
      <c r="AF184" t="str">
        <f t="shared" si="34"/>
        <v>A679072</v>
      </c>
      <c r="AG184" t="str">
        <f>VLOOKUP(AF184,AKT!$C$4:$E$324,3,FALSE)</f>
        <v>0942</v>
      </c>
    </row>
    <row r="185" spans="1:33">
      <c r="A185" s="90"/>
      <c r="B185" s="85" t="str">
        <f t="shared" si="27"/>
        <v/>
      </c>
      <c r="C185" s="90"/>
      <c r="D185" s="85" t="str">
        <f t="shared" si="28"/>
        <v/>
      </c>
      <c r="E185" s="123"/>
      <c r="F185" s="85" t="str">
        <f t="shared" si="29"/>
        <v/>
      </c>
      <c r="G185" s="85" t="str">
        <f t="shared" si="30"/>
        <v/>
      </c>
      <c r="H185" s="122"/>
      <c r="I185" s="122"/>
      <c r="J185" s="122"/>
      <c r="K185" s="135"/>
      <c r="L185" s="134"/>
      <c r="M185" s="134"/>
      <c r="N185" s="135"/>
      <c r="O185" s="266"/>
      <c r="P185" s="89"/>
      <c r="R185" t="str">
        <f t="shared" si="31"/>
        <v/>
      </c>
      <c r="S185" t="str">
        <f t="shared" si="32"/>
        <v/>
      </c>
      <c r="T185" t="str">
        <f t="shared" si="33"/>
        <v/>
      </c>
      <c r="AD185" t="s">
        <v>2152</v>
      </c>
      <c r="AE185" t="s">
        <v>2153</v>
      </c>
      <c r="AF185" t="str">
        <f t="shared" si="34"/>
        <v>A679072</v>
      </c>
      <c r="AG185" t="str">
        <f>VLOOKUP(AF185,AKT!$C$4:$E$324,3,FALSE)</f>
        <v>0942</v>
      </c>
    </row>
    <row r="186" spans="1:33">
      <c r="A186" s="90"/>
      <c r="B186" s="85" t="str">
        <f t="shared" si="27"/>
        <v/>
      </c>
      <c r="C186" s="90"/>
      <c r="D186" s="85" t="str">
        <f t="shared" si="28"/>
        <v/>
      </c>
      <c r="E186" s="123"/>
      <c r="F186" s="85" t="str">
        <f t="shared" si="29"/>
        <v/>
      </c>
      <c r="G186" s="85" t="str">
        <f t="shared" si="30"/>
        <v/>
      </c>
      <c r="H186" s="122"/>
      <c r="I186" s="122"/>
      <c r="J186" s="122"/>
      <c r="K186" s="135"/>
      <c r="L186" s="134"/>
      <c r="M186" s="134"/>
      <c r="N186" s="135"/>
      <c r="O186" s="266"/>
      <c r="P186" s="89"/>
      <c r="R186" t="str">
        <f t="shared" si="31"/>
        <v/>
      </c>
      <c r="S186" t="str">
        <f t="shared" si="32"/>
        <v/>
      </c>
      <c r="T186" t="str">
        <f t="shared" si="33"/>
        <v/>
      </c>
      <c r="AD186" t="s">
        <v>2154</v>
      </c>
      <c r="AE186" t="s">
        <v>2155</v>
      </c>
      <c r="AF186" t="str">
        <f t="shared" si="34"/>
        <v>A679072</v>
      </c>
      <c r="AG186" t="str">
        <f>VLOOKUP(AF186,AKT!$C$4:$E$324,3,FALSE)</f>
        <v>0942</v>
      </c>
    </row>
    <row r="187" spans="1:33">
      <c r="A187" s="90"/>
      <c r="B187" s="85" t="str">
        <f t="shared" si="27"/>
        <v/>
      </c>
      <c r="C187" s="90"/>
      <c r="D187" s="85" t="str">
        <f t="shared" si="28"/>
        <v/>
      </c>
      <c r="E187" s="123"/>
      <c r="F187" s="85" t="str">
        <f t="shared" si="29"/>
        <v/>
      </c>
      <c r="G187" s="85" t="str">
        <f t="shared" si="30"/>
        <v/>
      </c>
      <c r="H187" s="122"/>
      <c r="I187" s="122"/>
      <c r="J187" s="122"/>
      <c r="K187" s="135"/>
      <c r="L187" s="134"/>
      <c r="M187" s="134"/>
      <c r="N187" s="135"/>
      <c r="O187" s="266"/>
      <c r="P187" s="89"/>
      <c r="R187" t="str">
        <f t="shared" si="31"/>
        <v/>
      </c>
      <c r="S187" t="str">
        <f t="shared" si="32"/>
        <v/>
      </c>
      <c r="T187" t="str">
        <f t="shared" si="33"/>
        <v/>
      </c>
      <c r="AD187" t="s">
        <v>2156</v>
      </c>
      <c r="AE187" t="s">
        <v>2157</v>
      </c>
      <c r="AF187" t="str">
        <f t="shared" si="34"/>
        <v>A679072</v>
      </c>
      <c r="AG187" t="str">
        <f>VLOOKUP(AF187,AKT!$C$4:$E$324,3,FALSE)</f>
        <v>0942</v>
      </c>
    </row>
    <row r="188" spans="1:33">
      <c r="A188" s="90"/>
      <c r="B188" s="85" t="str">
        <f t="shared" si="27"/>
        <v/>
      </c>
      <c r="C188" s="90"/>
      <c r="D188" s="85" t="str">
        <f t="shared" si="28"/>
        <v/>
      </c>
      <c r="E188" s="123"/>
      <c r="F188" s="85" t="str">
        <f t="shared" si="29"/>
        <v/>
      </c>
      <c r="G188" s="85" t="str">
        <f t="shared" si="30"/>
        <v/>
      </c>
      <c r="H188" s="122"/>
      <c r="I188" s="122"/>
      <c r="J188" s="122"/>
      <c r="K188" s="135"/>
      <c r="L188" s="134"/>
      <c r="M188" s="134"/>
      <c r="N188" s="135"/>
      <c r="O188" s="266"/>
      <c r="P188" s="89"/>
      <c r="R188" t="str">
        <f t="shared" si="31"/>
        <v/>
      </c>
      <c r="S188" t="str">
        <f t="shared" si="32"/>
        <v/>
      </c>
      <c r="T188" t="str">
        <f t="shared" si="33"/>
        <v/>
      </c>
      <c r="AD188" t="s">
        <v>2158</v>
      </c>
      <c r="AE188" t="s">
        <v>2159</v>
      </c>
      <c r="AF188" t="str">
        <f t="shared" si="34"/>
        <v>A679072</v>
      </c>
      <c r="AG188" t="str">
        <f>VLOOKUP(AF188,AKT!$C$4:$E$324,3,FALSE)</f>
        <v>0942</v>
      </c>
    </row>
    <row r="189" spans="1:33">
      <c r="A189" s="90"/>
      <c r="B189" s="85" t="str">
        <f t="shared" si="27"/>
        <v/>
      </c>
      <c r="C189" s="90"/>
      <c r="D189" s="85" t="str">
        <f t="shared" si="28"/>
        <v/>
      </c>
      <c r="E189" s="123"/>
      <c r="F189" s="85" t="str">
        <f t="shared" si="29"/>
        <v/>
      </c>
      <c r="G189" s="85" t="str">
        <f t="shared" si="30"/>
        <v/>
      </c>
      <c r="H189" s="122"/>
      <c r="I189" s="122"/>
      <c r="J189" s="122"/>
      <c r="K189" s="135"/>
      <c r="L189" s="134"/>
      <c r="M189" s="134"/>
      <c r="N189" s="135"/>
      <c r="O189" s="266"/>
      <c r="P189" s="89"/>
      <c r="R189" t="str">
        <f t="shared" si="31"/>
        <v/>
      </c>
      <c r="S189" t="str">
        <f t="shared" si="32"/>
        <v/>
      </c>
      <c r="T189" t="str">
        <f t="shared" si="33"/>
        <v/>
      </c>
      <c r="AD189" t="s">
        <v>2160</v>
      </c>
      <c r="AE189" t="s">
        <v>2161</v>
      </c>
      <c r="AF189" t="str">
        <f t="shared" si="34"/>
        <v>A679072</v>
      </c>
      <c r="AG189" t="str">
        <f>VLOOKUP(AF189,AKT!$C$4:$E$324,3,FALSE)</f>
        <v>0942</v>
      </c>
    </row>
    <row r="190" spans="1:33">
      <c r="A190" s="90"/>
      <c r="B190" s="85" t="str">
        <f t="shared" si="27"/>
        <v/>
      </c>
      <c r="C190" s="90"/>
      <c r="D190" s="85" t="str">
        <f t="shared" si="28"/>
        <v/>
      </c>
      <c r="E190" s="123"/>
      <c r="F190" s="85" t="str">
        <f t="shared" si="29"/>
        <v/>
      </c>
      <c r="G190" s="85" t="str">
        <f t="shared" si="30"/>
        <v/>
      </c>
      <c r="H190" s="122"/>
      <c r="I190" s="122"/>
      <c r="J190" s="122"/>
      <c r="K190" s="135"/>
      <c r="L190" s="134"/>
      <c r="M190" s="134"/>
      <c r="N190" s="135"/>
      <c r="O190" s="266"/>
      <c r="P190" s="89"/>
      <c r="R190" t="str">
        <f t="shared" si="31"/>
        <v/>
      </c>
      <c r="S190" t="str">
        <f t="shared" si="32"/>
        <v/>
      </c>
      <c r="T190" t="str">
        <f t="shared" si="33"/>
        <v/>
      </c>
      <c r="AD190" t="s">
        <v>2162</v>
      </c>
      <c r="AE190" t="s">
        <v>2163</v>
      </c>
      <c r="AF190" t="str">
        <f t="shared" si="34"/>
        <v>A679072</v>
      </c>
      <c r="AG190" t="str">
        <f>VLOOKUP(AF190,AKT!$C$4:$E$324,3,FALSE)</f>
        <v>0942</v>
      </c>
    </row>
    <row r="191" spans="1:33">
      <c r="A191" s="90"/>
      <c r="B191" s="85" t="str">
        <f t="shared" si="27"/>
        <v/>
      </c>
      <c r="C191" s="90"/>
      <c r="D191" s="85" t="str">
        <f t="shared" si="28"/>
        <v/>
      </c>
      <c r="E191" s="123"/>
      <c r="F191" s="85" t="str">
        <f t="shared" si="29"/>
        <v/>
      </c>
      <c r="G191" s="85" t="str">
        <f t="shared" si="30"/>
        <v/>
      </c>
      <c r="H191" s="122"/>
      <c r="I191" s="122"/>
      <c r="J191" s="122"/>
      <c r="K191" s="135"/>
      <c r="L191" s="134"/>
      <c r="M191" s="134"/>
      <c r="N191" s="135"/>
      <c r="O191" s="266"/>
      <c r="P191" s="89"/>
      <c r="R191" t="str">
        <f t="shared" si="31"/>
        <v/>
      </c>
      <c r="S191" t="str">
        <f t="shared" si="32"/>
        <v/>
      </c>
      <c r="T191" t="str">
        <f t="shared" si="33"/>
        <v/>
      </c>
      <c r="AD191" t="s">
        <v>2164</v>
      </c>
      <c r="AE191" t="s">
        <v>2165</v>
      </c>
      <c r="AF191" t="str">
        <f t="shared" si="34"/>
        <v>A679072</v>
      </c>
      <c r="AG191" t="str">
        <f>VLOOKUP(AF191,AKT!$C$4:$E$324,3,FALSE)</f>
        <v>0942</v>
      </c>
    </row>
    <row r="192" spans="1:33">
      <c r="A192" s="90"/>
      <c r="B192" s="85" t="str">
        <f t="shared" si="27"/>
        <v/>
      </c>
      <c r="C192" s="90"/>
      <c r="D192" s="85" t="str">
        <f t="shared" si="28"/>
        <v/>
      </c>
      <c r="E192" s="123"/>
      <c r="F192" s="85" t="str">
        <f t="shared" si="29"/>
        <v/>
      </c>
      <c r="G192" s="85" t="str">
        <f t="shared" si="30"/>
        <v/>
      </c>
      <c r="H192" s="122"/>
      <c r="I192" s="122"/>
      <c r="J192" s="122"/>
      <c r="K192" s="135"/>
      <c r="L192" s="134"/>
      <c r="M192" s="134"/>
      <c r="N192" s="135"/>
      <c r="O192" s="266"/>
      <c r="P192" s="89"/>
      <c r="R192" t="str">
        <f t="shared" si="31"/>
        <v/>
      </c>
      <c r="S192" t="str">
        <f t="shared" si="32"/>
        <v/>
      </c>
      <c r="T192" t="str">
        <f t="shared" si="33"/>
        <v/>
      </c>
      <c r="AD192" t="s">
        <v>2166</v>
      </c>
      <c r="AE192" t="s">
        <v>2167</v>
      </c>
      <c r="AF192" t="str">
        <f t="shared" si="34"/>
        <v>A679072</v>
      </c>
      <c r="AG192" t="str">
        <f>VLOOKUP(AF192,AKT!$C$4:$E$324,3,FALSE)</f>
        <v>0942</v>
      </c>
    </row>
    <row r="193" spans="1:33">
      <c r="A193" s="90"/>
      <c r="B193" s="85" t="str">
        <f t="shared" si="27"/>
        <v/>
      </c>
      <c r="C193" s="90"/>
      <c r="D193" s="85" t="str">
        <f t="shared" si="28"/>
        <v/>
      </c>
      <c r="E193" s="123"/>
      <c r="F193" s="85" t="str">
        <f t="shared" si="29"/>
        <v/>
      </c>
      <c r="G193" s="85" t="str">
        <f t="shared" si="30"/>
        <v/>
      </c>
      <c r="H193" s="122"/>
      <c r="I193" s="122"/>
      <c r="J193" s="122"/>
      <c r="K193" s="135"/>
      <c r="L193" s="134"/>
      <c r="M193" s="134"/>
      <c r="N193" s="135"/>
      <c r="O193" s="266"/>
      <c r="P193" s="89"/>
      <c r="R193" t="str">
        <f t="shared" si="31"/>
        <v/>
      </c>
      <c r="S193" t="str">
        <f t="shared" si="32"/>
        <v/>
      </c>
      <c r="T193" t="str">
        <f t="shared" si="33"/>
        <v/>
      </c>
      <c r="AD193" t="s">
        <v>2168</v>
      </c>
      <c r="AE193" t="s">
        <v>2169</v>
      </c>
      <c r="AF193" t="str">
        <f t="shared" si="34"/>
        <v>A679072</v>
      </c>
      <c r="AG193" t="str">
        <f>VLOOKUP(AF193,AKT!$C$4:$E$324,3,FALSE)</f>
        <v>0942</v>
      </c>
    </row>
    <row r="194" spans="1:33">
      <c r="A194" s="90"/>
      <c r="B194" s="85" t="str">
        <f t="shared" si="27"/>
        <v/>
      </c>
      <c r="C194" s="90"/>
      <c r="D194" s="85" t="str">
        <f t="shared" si="28"/>
        <v/>
      </c>
      <c r="E194" s="123"/>
      <c r="F194" s="85" t="str">
        <f t="shared" si="29"/>
        <v/>
      </c>
      <c r="G194" s="85" t="str">
        <f t="shared" si="30"/>
        <v/>
      </c>
      <c r="H194" s="122"/>
      <c r="I194" s="122"/>
      <c r="J194" s="122"/>
      <c r="K194" s="135"/>
      <c r="L194" s="134"/>
      <c r="M194" s="134"/>
      <c r="N194" s="135"/>
      <c r="O194" s="266"/>
      <c r="P194" s="89"/>
      <c r="R194" t="str">
        <f t="shared" si="31"/>
        <v/>
      </c>
      <c r="S194" t="str">
        <f t="shared" si="32"/>
        <v/>
      </c>
      <c r="T194" t="str">
        <f t="shared" si="33"/>
        <v/>
      </c>
      <c r="AD194" t="s">
        <v>2170</v>
      </c>
      <c r="AE194" t="s">
        <v>2171</v>
      </c>
      <c r="AF194" t="str">
        <f t="shared" si="34"/>
        <v>A679072</v>
      </c>
      <c r="AG194" t="str">
        <f>VLOOKUP(AF194,AKT!$C$4:$E$324,3,FALSE)</f>
        <v>0942</v>
      </c>
    </row>
    <row r="195" spans="1:33">
      <c r="A195" s="90"/>
      <c r="B195" s="85" t="str">
        <f t="shared" si="27"/>
        <v/>
      </c>
      <c r="C195" s="90"/>
      <c r="D195" s="85" t="str">
        <f t="shared" si="28"/>
        <v/>
      </c>
      <c r="E195" s="123"/>
      <c r="F195" s="85" t="str">
        <f t="shared" si="29"/>
        <v/>
      </c>
      <c r="G195" s="85" t="str">
        <f t="shared" si="30"/>
        <v/>
      </c>
      <c r="H195" s="122"/>
      <c r="I195" s="122"/>
      <c r="J195" s="122"/>
      <c r="K195" s="135"/>
      <c r="L195" s="134"/>
      <c r="M195" s="134"/>
      <c r="N195" s="135"/>
      <c r="O195" s="266"/>
      <c r="P195" s="89"/>
      <c r="R195" t="str">
        <f t="shared" si="31"/>
        <v/>
      </c>
      <c r="S195" t="str">
        <f t="shared" si="32"/>
        <v/>
      </c>
      <c r="T195" t="str">
        <f t="shared" si="33"/>
        <v/>
      </c>
      <c r="AD195" t="s">
        <v>2172</v>
      </c>
      <c r="AE195" t="s">
        <v>2173</v>
      </c>
      <c r="AF195" t="str">
        <f t="shared" si="34"/>
        <v>A679072</v>
      </c>
      <c r="AG195" t="str">
        <f>VLOOKUP(AF195,AKT!$C$4:$E$324,3,FALSE)</f>
        <v>0942</v>
      </c>
    </row>
    <row r="196" spans="1:33">
      <c r="A196" s="90"/>
      <c r="B196" s="85" t="str">
        <f t="shared" ref="B196:B259" si="35">IFERROR(VLOOKUP(A196,$U$6:$V$23,2,FALSE),"")</f>
        <v/>
      </c>
      <c r="C196" s="90"/>
      <c r="D196" s="85" t="str">
        <f t="shared" ref="D196:D259" si="36">IFERROR(VLOOKUP(C196,$X$5:$Z$129,2,FALSE),"")</f>
        <v/>
      </c>
      <c r="E196" s="123"/>
      <c r="F196" s="85" t="str">
        <f t="shared" ref="F196:F259" si="37">IFERROR(VLOOKUP(E196,$AD$6:$AE$1090,2,FALSE),"")</f>
        <v/>
      </c>
      <c r="G196" s="85" t="str">
        <f t="shared" ref="G196:G259" si="38">IFERROR(VLOOKUP(E196,$AD$6:$AG$1090,4,FALSE),"")</f>
        <v/>
      </c>
      <c r="H196" s="122"/>
      <c r="I196" s="122"/>
      <c r="J196" s="122"/>
      <c r="K196" s="135"/>
      <c r="L196" s="134"/>
      <c r="M196" s="134"/>
      <c r="N196" s="135"/>
      <c r="O196" s="266"/>
      <c r="P196" s="89"/>
      <c r="R196" t="str">
        <f t="shared" ref="R196:R259" si="39">LEFT(C196,3)</f>
        <v/>
      </c>
      <c r="S196" t="str">
        <f t="shared" ref="S196:S259" si="40">LEFT(C196,2)</f>
        <v/>
      </c>
      <c r="T196" t="str">
        <f t="shared" ref="T196:T259" si="41">MID(G196,2,2)</f>
        <v/>
      </c>
      <c r="AD196" t="s">
        <v>2174</v>
      </c>
      <c r="AE196" t="s">
        <v>2175</v>
      </c>
      <c r="AF196" t="str">
        <f t="shared" si="34"/>
        <v>A679072</v>
      </c>
      <c r="AG196" t="str">
        <f>VLOOKUP(AF196,AKT!$C$4:$E$324,3,FALSE)</f>
        <v>0942</v>
      </c>
    </row>
    <row r="197" spans="1:33">
      <c r="A197" s="90"/>
      <c r="B197" s="85" t="str">
        <f t="shared" si="35"/>
        <v/>
      </c>
      <c r="C197" s="90"/>
      <c r="D197" s="85" t="str">
        <f t="shared" si="36"/>
        <v/>
      </c>
      <c r="E197" s="123"/>
      <c r="F197" s="85" t="str">
        <f t="shared" si="37"/>
        <v/>
      </c>
      <c r="G197" s="85" t="str">
        <f t="shared" si="38"/>
        <v/>
      </c>
      <c r="H197" s="122"/>
      <c r="I197" s="122"/>
      <c r="J197" s="122"/>
      <c r="K197" s="135"/>
      <c r="L197" s="134"/>
      <c r="M197" s="134"/>
      <c r="N197" s="135"/>
      <c r="O197" s="266"/>
      <c r="P197" s="89"/>
      <c r="R197" t="str">
        <f t="shared" si="39"/>
        <v/>
      </c>
      <c r="S197" t="str">
        <f t="shared" si="40"/>
        <v/>
      </c>
      <c r="T197" t="str">
        <f t="shared" si="41"/>
        <v/>
      </c>
      <c r="AD197" t="s">
        <v>2176</v>
      </c>
      <c r="AE197" t="s">
        <v>2177</v>
      </c>
      <c r="AF197" t="str">
        <f t="shared" si="34"/>
        <v>A679072</v>
      </c>
      <c r="AG197" t="str">
        <f>VLOOKUP(AF197,AKT!$C$4:$E$324,3,FALSE)</f>
        <v>0942</v>
      </c>
    </row>
    <row r="198" spans="1:33">
      <c r="A198" s="90"/>
      <c r="B198" s="85" t="str">
        <f t="shared" si="35"/>
        <v/>
      </c>
      <c r="C198" s="90"/>
      <c r="D198" s="85" t="str">
        <f t="shared" si="36"/>
        <v/>
      </c>
      <c r="E198" s="123"/>
      <c r="F198" s="85" t="str">
        <f t="shared" si="37"/>
        <v/>
      </c>
      <c r="G198" s="85" t="str">
        <f t="shared" si="38"/>
        <v/>
      </c>
      <c r="H198" s="122"/>
      <c r="I198" s="122"/>
      <c r="J198" s="122"/>
      <c r="K198" s="135"/>
      <c r="L198" s="134"/>
      <c r="M198" s="134"/>
      <c r="N198" s="135"/>
      <c r="O198" s="266"/>
      <c r="P198" s="89"/>
      <c r="R198" t="str">
        <f t="shared" si="39"/>
        <v/>
      </c>
      <c r="S198" t="str">
        <f t="shared" si="40"/>
        <v/>
      </c>
      <c r="T198" t="str">
        <f t="shared" si="41"/>
        <v/>
      </c>
      <c r="AD198" t="s">
        <v>3062</v>
      </c>
      <c r="AE198" t="s">
        <v>3063</v>
      </c>
      <c r="AF198" t="str">
        <f t="shared" si="34"/>
        <v>A679072</v>
      </c>
      <c r="AG198" t="str">
        <f>VLOOKUP(AF198,AKT!$C$4:$E$324,3,FALSE)</f>
        <v>0942</v>
      </c>
    </row>
    <row r="199" spans="1:33">
      <c r="A199" s="90"/>
      <c r="B199" s="85" t="str">
        <f t="shared" si="35"/>
        <v/>
      </c>
      <c r="C199" s="90"/>
      <c r="D199" s="85" t="str">
        <f t="shared" si="36"/>
        <v/>
      </c>
      <c r="E199" s="123"/>
      <c r="F199" s="85" t="str">
        <f t="shared" si="37"/>
        <v/>
      </c>
      <c r="G199" s="85" t="str">
        <f t="shared" si="38"/>
        <v/>
      </c>
      <c r="H199" s="122"/>
      <c r="I199" s="122"/>
      <c r="J199" s="122"/>
      <c r="K199" s="135"/>
      <c r="L199" s="134"/>
      <c r="M199" s="134"/>
      <c r="N199" s="135"/>
      <c r="O199" s="266"/>
      <c r="P199" s="89"/>
      <c r="R199" t="str">
        <f t="shared" si="39"/>
        <v/>
      </c>
      <c r="S199" t="str">
        <f t="shared" si="40"/>
        <v/>
      </c>
      <c r="T199" t="str">
        <f t="shared" si="41"/>
        <v/>
      </c>
      <c r="AD199" t="s">
        <v>3064</v>
      </c>
      <c r="AE199" t="s">
        <v>3065</v>
      </c>
      <c r="AF199" t="str">
        <f t="shared" si="34"/>
        <v>A679072</v>
      </c>
      <c r="AG199" t="str">
        <f>VLOOKUP(AF199,AKT!$C$4:$E$324,3,FALSE)</f>
        <v>0942</v>
      </c>
    </row>
    <row r="200" spans="1:33">
      <c r="A200" s="90"/>
      <c r="B200" s="85" t="str">
        <f t="shared" si="35"/>
        <v/>
      </c>
      <c r="C200" s="90"/>
      <c r="D200" s="85" t="str">
        <f t="shared" si="36"/>
        <v/>
      </c>
      <c r="E200" s="123"/>
      <c r="F200" s="85" t="str">
        <f t="shared" si="37"/>
        <v/>
      </c>
      <c r="G200" s="85" t="str">
        <f t="shared" si="38"/>
        <v/>
      </c>
      <c r="H200" s="122"/>
      <c r="I200" s="122"/>
      <c r="J200" s="122"/>
      <c r="K200" s="135"/>
      <c r="L200" s="134"/>
      <c r="M200" s="134"/>
      <c r="N200" s="135"/>
      <c r="O200" s="266"/>
      <c r="P200" s="89"/>
      <c r="R200" t="str">
        <f t="shared" si="39"/>
        <v/>
      </c>
      <c r="S200" t="str">
        <f t="shared" si="40"/>
        <v/>
      </c>
      <c r="T200" t="str">
        <f t="shared" si="41"/>
        <v/>
      </c>
      <c r="AD200" t="s">
        <v>3066</v>
      </c>
      <c r="AE200" t="s">
        <v>3067</v>
      </c>
      <c r="AF200" t="str">
        <f t="shared" ref="AF200:AF263" si="42">LEFT(AD200,7)</f>
        <v>A679072</v>
      </c>
      <c r="AG200" t="str">
        <f>VLOOKUP(AF200,AKT!$C$4:$E$324,3,FALSE)</f>
        <v>0942</v>
      </c>
    </row>
    <row r="201" spans="1:33">
      <c r="A201" s="90"/>
      <c r="B201" s="85" t="str">
        <f t="shared" si="35"/>
        <v/>
      </c>
      <c r="C201" s="90"/>
      <c r="D201" s="85" t="str">
        <f t="shared" si="36"/>
        <v/>
      </c>
      <c r="E201" s="123"/>
      <c r="F201" s="85" t="str">
        <f t="shared" si="37"/>
        <v/>
      </c>
      <c r="G201" s="85" t="str">
        <f t="shared" si="38"/>
        <v/>
      </c>
      <c r="H201" s="122"/>
      <c r="I201" s="122"/>
      <c r="J201" s="122"/>
      <c r="K201" s="135"/>
      <c r="L201" s="134"/>
      <c r="M201" s="134"/>
      <c r="N201" s="135"/>
      <c r="O201" s="266"/>
      <c r="P201" s="89"/>
      <c r="R201" t="str">
        <f t="shared" si="39"/>
        <v/>
      </c>
      <c r="S201" t="str">
        <f t="shared" si="40"/>
        <v/>
      </c>
      <c r="T201" t="str">
        <f t="shared" si="41"/>
        <v/>
      </c>
      <c r="AD201" t="s">
        <v>3068</v>
      </c>
      <c r="AE201" t="s">
        <v>3069</v>
      </c>
      <c r="AF201" t="str">
        <f t="shared" si="42"/>
        <v>A679072</v>
      </c>
      <c r="AG201" t="str">
        <f>VLOOKUP(AF201,AKT!$C$4:$E$324,3,FALSE)</f>
        <v>0942</v>
      </c>
    </row>
    <row r="202" spans="1:33">
      <c r="A202" s="90"/>
      <c r="B202" s="85" t="str">
        <f t="shared" si="35"/>
        <v/>
      </c>
      <c r="C202" s="90"/>
      <c r="D202" s="85" t="str">
        <f t="shared" si="36"/>
        <v/>
      </c>
      <c r="E202" s="123"/>
      <c r="F202" s="85" t="str">
        <f t="shared" si="37"/>
        <v/>
      </c>
      <c r="G202" s="85" t="str">
        <f t="shared" si="38"/>
        <v/>
      </c>
      <c r="H202" s="122"/>
      <c r="I202" s="122"/>
      <c r="J202" s="122"/>
      <c r="K202" s="135"/>
      <c r="L202" s="134"/>
      <c r="M202" s="134"/>
      <c r="N202" s="135"/>
      <c r="O202" s="266"/>
      <c r="P202" s="89"/>
      <c r="R202" t="str">
        <f t="shared" si="39"/>
        <v/>
      </c>
      <c r="S202" t="str">
        <f t="shared" si="40"/>
        <v/>
      </c>
      <c r="T202" t="str">
        <f t="shared" si="41"/>
        <v/>
      </c>
      <c r="AD202" t="s">
        <v>3070</v>
      </c>
      <c r="AE202" t="s">
        <v>3071</v>
      </c>
      <c r="AF202" t="str">
        <f t="shared" si="42"/>
        <v>A679072</v>
      </c>
      <c r="AG202" t="str">
        <f>VLOOKUP(AF202,AKT!$C$4:$E$324,3,FALSE)</f>
        <v>0942</v>
      </c>
    </row>
    <row r="203" spans="1:33">
      <c r="A203" s="90"/>
      <c r="B203" s="85" t="str">
        <f t="shared" si="35"/>
        <v/>
      </c>
      <c r="C203" s="90"/>
      <c r="D203" s="85" t="str">
        <f t="shared" si="36"/>
        <v/>
      </c>
      <c r="E203" s="123"/>
      <c r="F203" s="85" t="str">
        <f t="shared" si="37"/>
        <v/>
      </c>
      <c r="G203" s="85" t="str">
        <f t="shared" si="38"/>
        <v/>
      </c>
      <c r="H203" s="122"/>
      <c r="I203" s="122"/>
      <c r="J203" s="122"/>
      <c r="K203" s="135"/>
      <c r="L203" s="134"/>
      <c r="M203" s="134"/>
      <c r="N203" s="135"/>
      <c r="O203" s="266"/>
      <c r="P203" s="89"/>
      <c r="R203" t="str">
        <f t="shared" si="39"/>
        <v/>
      </c>
      <c r="S203" t="str">
        <f t="shared" si="40"/>
        <v/>
      </c>
      <c r="T203" t="str">
        <f t="shared" si="41"/>
        <v/>
      </c>
      <c r="AD203" t="s">
        <v>3072</v>
      </c>
      <c r="AE203" t="s">
        <v>3073</v>
      </c>
      <c r="AF203" t="str">
        <f t="shared" si="42"/>
        <v>A679072</v>
      </c>
      <c r="AG203" t="str">
        <f>VLOOKUP(AF203,AKT!$C$4:$E$324,3,FALSE)</f>
        <v>0942</v>
      </c>
    </row>
    <row r="204" spans="1:33">
      <c r="A204" s="90"/>
      <c r="B204" s="85" t="str">
        <f t="shared" si="35"/>
        <v/>
      </c>
      <c r="C204" s="90"/>
      <c r="D204" s="85" t="str">
        <f t="shared" si="36"/>
        <v/>
      </c>
      <c r="E204" s="123"/>
      <c r="F204" s="85" t="str">
        <f t="shared" si="37"/>
        <v/>
      </c>
      <c r="G204" s="85" t="str">
        <f t="shared" si="38"/>
        <v/>
      </c>
      <c r="H204" s="122"/>
      <c r="I204" s="122"/>
      <c r="J204" s="122"/>
      <c r="K204" s="135"/>
      <c r="L204" s="134"/>
      <c r="M204" s="134"/>
      <c r="N204" s="135"/>
      <c r="O204" s="266"/>
      <c r="P204" s="89"/>
      <c r="R204" t="str">
        <f t="shared" si="39"/>
        <v/>
      </c>
      <c r="S204" t="str">
        <f t="shared" si="40"/>
        <v/>
      </c>
      <c r="T204" t="str">
        <f t="shared" si="41"/>
        <v/>
      </c>
      <c r="AD204" t="s">
        <v>3074</v>
      </c>
      <c r="AE204" t="s">
        <v>2518</v>
      </c>
      <c r="AF204" t="str">
        <f t="shared" si="42"/>
        <v>A679072</v>
      </c>
      <c r="AG204" t="str">
        <f>VLOOKUP(AF204,AKT!$C$4:$E$324,3,FALSE)</f>
        <v>0942</v>
      </c>
    </row>
    <row r="205" spans="1:33">
      <c r="A205" s="90"/>
      <c r="B205" s="85" t="str">
        <f t="shared" si="35"/>
        <v/>
      </c>
      <c r="C205" s="90"/>
      <c r="D205" s="85" t="str">
        <f t="shared" si="36"/>
        <v/>
      </c>
      <c r="E205" s="123"/>
      <c r="F205" s="85" t="str">
        <f t="shared" si="37"/>
        <v/>
      </c>
      <c r="G205" s="85" t="str">
        <f t="shared" si="38"/>
        <v/>
      </c>
      <c r="H205" s="122"/>
      <c r="I205" s="122"/>
      <c r="J205" s="122"/>
      <c r="K205" s="135"/>
      <c r="L205" s="134"/>
      <c r="M205" s="134"/>
      <c r="N205" s="135"/>
      <c r="O205" s="266"/>
      <c r="P205" s="89"/>
      <c r="R205" t="str">
        <f t="shared" si="39"/>
        <v/>
      </c>
      <c r="S205" t="str">
        <f t="shared" si="40"/>
        <v/>
      </c>
      <c r="T205" t="str">
        <f t="shared" si="41"/>
        <v/>
      </c>
      <c r="AD205" t="s">
        <v>3075</v>
      </c>
      <c r="AE205" t="s">
        <v>3076</v>
      </c>
      <c r="AF205" t="str">
        <f t="shared" si="42"/>
        <v>A679072</v>
      </c>
      <c r="AG205" t="str">
        <f>VLOOKUP(AF205,AKT!$C$4:$E$324,3,FALSE)</f>
        <v>0942</v>
      </c>
    </row>
    <row r="206" spans="1:33">
      <c r="A206" s="90"/>
      <c r="B206" s="85" t="str">
        <f t="shared" si="35"/>
        <v/>
      </c>
      <c r="C206" s="90"/>
      <c r="D206" s="85" t="str">
        <f t="shared" si="36"/>
        <v/>
      </c>
      <c r="E206" s="123"/>
      <c r="F206" s="85" t="str">
        <f t="shared" si="37"/>
        <v/>
      </c>
      <c r="G206" s="85" t="str">
        <f t="shared" si="38"/>
        <v/>
      </c>
      <c r="H206" s="122"/>
      <c r="I206" s="122"/>
      <c r="J206" s="122"/>
      <c r="K206" s="135"/>
      <c r="L206" s="134"/>
      <c r="M206" s="134"/>
      <c r="N206" s="135"/>
      <c r="O206" s="266"/>
      <c r="P206" s="89"/>
      <c r="R206" t="str">
        <f t="shared" si="39"/>
        <v/>
      </c>
      <c r="S206" t="str">
        <f t="shared" si="40"/>
        <v/>
      </c>
      <c r="T206" t="str">
        <f t="shared" si="41"/>
        <v/>
      </c>
      <c r="AD206" t="s">
        <v>3077</v>
      </c>
      <c r="AE206" t="s">
        <v>3078</v>
      </c>
      <c r="AF206" t="str">
        <f t="shared" si="42"/>
        <v>A679072</v>
      </c>
      <c r="AG206" t="str">
        <f>VLOOKUP(AF206,AKT!$C$4:$E$324,3,FALSE)</f>
        <v>0942</v>
      </c>
    </row>
    <row r="207" spans="1:33">
      <c r="A207" s="90"/>
      <c r="B207" s="85" t="str">
        <f t="shared" si="35"/>
        <v/>
      </c>
      <c r="C207" s="90"/>
      <c r="D207" s="85" t="str">
        <f t="shared" si="36"/>
        <v/>
      </c>
      <c r="E207" s="123"/>
      <c r="F207" s="85" t="str">
        <f t="shared" si="37"/>
        <v/>
      </c>
      <c r="G207" s="85" t="str">
        <f t="shared" si="38"/>
        <v/>
      </c>
      <c r="H207" s="122"/>
      <c r="I207" s="122"/>
      <c r="J207" s="122"/>
      <c r="K207" s="135"/>
      <c r="L207" s="134"/>
      <c r="M207" s="134"/>
      <c r="N207" s="135"/>
      <c r="O207" s="266"/>
      <c r="P207" s="89"/>
      <c r="R207" t="str">
        <f t="shared" si="39"/>
        <v/>
      </c>
      <c r="S207" t="str">
        <f t="shared" si="40"/>
        <v/>
      </c>
      <c r="T207" t="str">
        <f t="shared" si="41"/>
        <v/>
      </c>
      <c r="AD207" t="s">
        <v>3079</v>
      </c>
      <c r="AE207" t="s">
        <v>3080</v>
      </c>
      <c r="AF207" t="str">
        <f t="shared" si="42"/>
        <v>A679072</v>
      </c>
      <c r="AG207" t="str">
        <f>VLOOKUP(AF207,AKT!$C$4:$E$324,3,FALSE)</f>
        <v>0942</v>
      </c>
    </row>
    <row r="208" spans="1:33">
      <c r="A208" s="90"/>
      <c r="B208" s="85" t="str">
        <f t="shared" si="35"/>
        <v/>
      </c>
      <c r="C208" s="90"/>
      <c r="D208" s="85" t="str">
        <f t="shared" si="36"/>
        <v/>
      </c>
      <c r="E208" s="123"/>
      <c r="F208" s="85" t="str">
        <f t="shared" si="37"/>
        <v/>
      </c>
      <c r="G208" s="85" t="str">
        <f t="shared" si="38"/>
        <v/>
      </c>
      <c r="H208" s="122"/>
      <c r="I208" s="122"/>
      <c r="J208" s="122"/>
      <c r="K208" s="135"/>
      <c r="L208" s="134"/>
      <c r="M208" s="134"/>
      <c r="N208" s="135"/>
      <c r="O208" s="266"/>
      <c r="P208" s="89"/>
      <c r="R208" t="str">
        <f t="shared" si="39"/>
        <v/>
      </c>
      <c r="S208" t="str">
        <f t="shared" si="40"/>
        <v/>
      </c>
      <c r="T208" t="str">
        <f t="shared" si="41"/>
        <v/>
      </c>
      <c r="AD208" t="s">
        <v>3081</v>
      </c>
      <c r="AE208" t="s">
        <v>3082</v>
      </c>
      <c r="AF208" t="str">
        <f t="shared" si="42"/>
        <v>A679072</v>
      </c>
      <c r="AG208" t="str">
        <f>VLOOKUP(AF208,AKT!$C$4:$E$324,3,FALSE)</f>
        <v>0942</v>
      </c>
    </row>
    <row r="209" spans="1:33">
      <c r="A209" s="90"/>
      <c r="B209" s="85" t="str">
        <f t="shared" si="35"/>
        <v/>
      </c>
      <c r="C209" s="90"/>
      <c r="D209" s="85" t="str">
        <f t="shared" si="36"/>
        <v/>
      </c>
      <c r="E209" s="123"/>
      <c r="F209" s="85" t="str">
        <f t="shared" si="37"/>
        <v/>
      </c>
      <c r="G209" s="85" t="str">
        <f t="shared" si="38"/>
        <v/>
      </c>
      <c r="H209" s="122"/>
      <c r="I209" s="122"/>
      <c r="J209" s="122"/>
      <c r="K209" s="135"/>
      <c r="L209" s="134"/>
      <c r="M209" s="134"/>
      <c r="N209" s="135"/>
      <c r="O209" s="266"/>
      <c r="P209" s="89"/>
      <c r="R209" t="str">
        <f t="shared" si="39"/>
        <v/>
      </c>
      <c r="S209" t="str">
        <f t="shared" si="40"/>
        <v/>
      </c>
      <c r="T209" t="str">
        <f t="shared" si="41"/>
        <v/>
      </c>
      <c r="AD209" t="s">
        <v>3083</v>
      </c>
      <c r="AE209" t="s">
        <v>3084</v>
      </c>
      <c r="AF209" t="str">
        <f t="shared" si="42"/>
        <v>A679072</v>
      </c>
      <c r="AG209" t="str">
        <f>VLOOKUP(AF209,AKT!$C$4:$E$324,3,FALSE)</f>
        <v>0942</v>
      </c>
    </row>
    <row r="210" spans="1:33">
      <c r="A210" s="90"/>
      <c r="B210" s="85" t="str">
        <f t="shared" si="35"/>
        <v/>
      </c>
      <c r="C210" s="90"/>
      <c r="D210" s="85" t="str">
        <f t="shared" si="36"/>
        <v/>
      </c>
      <c r="E210" s="123"/>
      <c r="F210" s="85" t="str">
        <f t="shared" si="37"/>
        <v/>
      </c>
      <c r="G210" s="85" t="str">
        <f t="shared" si="38"/>
        <v/>
      </c>
      <c r="H210" s="122"/>
      <c r="I210" s="122"/>
      <c r="J210" s="122"/>
      <c r="K210" s="135"/>
      <c r="L210" s="134"/>
      <c r="M210" s="134"/>
      <c r="N210" s="135"/>
      <c r="O210" s="266"/>
      <c r="P210" s="89"/>
      <c r="R210" t="str">
        <f t="shared" si="39"/>
        <v/>
      </c>
      <c r="S210" t="str">
        <f t="shared" si="40"/>
        <v/>
      </c>
      <c r="T210" t="str">
        <f t="shared" si="41"/>
        <v/>
      </c>
      <c r="AD210" t="s">
        <v>3085</v>
      </c>
      <c r="AE210" t="s">
        <v>3086</v>
      </c>
      <c r="AF210" t="str">
        <f t="shared" si="42"/>
        <v>A679072</v>
      </c>
      <c r="AG210" t="str">
        <f>VLOOKUP(AF210,AKT!$C$4:$E$324,3,FALSE)</f>
        <v>0942</v>
      </c>
    </row>
    <row r="211" spans="1:33">
      <c r="A211" s="90"/>
      <c r="B211" s="85" t="str">
        <f t="shared" si="35"/>
        <v/>
      </c>
      <c r="C211" s="90"/>
      <c r="D211" s="85" t="str">
        <f t="shared" si="36"/>
        <v/>
      </c>
      <c r="E211" s="123"/>
      <c r="F211" s="85" t="str">
        <f t="shared" si="37"/>
        <v/>
      </c>
      <c r="G211" s="85" t="str">
        <f t="shared" si="38"/>
        <v/>
      </c>
      <c r="H211" s="122"/>
      <c r="I211" s="122"/>
      <c r="J211" s="122"/>
      <c r="K211" s="135"/>
      <c r="L211" s="134"/>
      <c r="M211" s="134"/>
      <c r="N211" s="135"/>
      <c r="O211" s="266"/>
      <c r="P211" s="89"/>
      <c r="R211" t="str">
        <f t="shared" si="39"/>
        <v/>
      </c>
      <c r="S211" t="str">
        <f t="shared" si="40"/>
        <v/>
      </c>
      <c r="T211" t="str">
        <f t="shared" si="41"/>
        <v/>
      </c>
      <c r="AD211" t="s">
        <v>3087</v>
      </c>
      <c r="AE211" t="s">
        <v>3088</v>
      </c>
      <c r="AF211" t="str">
        <f t="shared" si="42"/>
        <v>A679072</v>
      </c>
      <c r="AG211" t="str">
        <f>VLOOKUP(AF211,AKT!$C$4:$E$324,3,FALSE)</f>
        <v>0942</v>
      </c>
    </row>
    <row r="212" spans="1:33">
      <c r="A212" s="90"/>
      <c r="B212" s="85" t="str">
        <f t="shared" si="35"/>
        <v/>
      </c>
      <c r="C212" s="90"/>
      <c r="D212" s="85" t="str">
        <f t="shared" si="36"/>
        <v/>
      </c>
      <c r="E212" s="123"/>
      <c r="F212" s="85" t="str">
        <f t="shared" si="37"/>
        <v/>
      </c>
      <c r="G212" s="85" t="str">
        <f t="shared" si="38"/>
        <v/>
      </c>
      <c r="H212" s="122"/>
      <c r="I212" s="122"/>
      <c r="J212" s="122"/>
      <c r="K212" s="135"/>
      <c r="L212" s="134"/>
      <c r="M212" s="134"/>
      <c r="N212" s="135"/>
      <c r="O212" s="266"/>
      <c r="P212" s="89"/>
      <c r="R212" t="str">
        <f t="shared" si="39"/>
        <v/>
      </c>
      <c r="S212" t="str">
        <f t="shared" si="40"/>
        <v/>
      </c>
      <c r="T212" t="str">
        <f t="shared" si="41"/>
        <v/>
      </c>
      <c r="AD212" t="s">
        <v>3089</v>
      </c>
      <c r="AE212" t="s">
        <v>3090</v>
      </c>
      <c r="AF212" t="str">
        <f t="shared" si="42"/>
        <v>A679072</v>
      </c>
      <c r="AG212" t="str">
        <f>VLOOKUP(AF212,AKT!$C$4:$E$324,3,FALSE)</f>
        <v>0942</v>
      </c>
    </row>
    <row r="213" spans="1:33">
      <c r="A213" s="90"/>
      <c r="B213" s="85" t="str">
        <f t="shared" si="35"/>
        <v/>
      </c>
      <c r="C213" s="90"/>
      <c r="D213" s="85" t="str">
        <f t="shared" si="36"/>
        <v/>
      </c>
      <c r="E213" s="123"/>
      <c r="F213" s="85" t="str">
        <f t="shared" si="37"/>
        <v/>
      </c>
      <c r="G213" s="85" t="str">
        <f t="shared" si="38"/>
        <v/>
      </c>
      <c r="H213" s="122"/>
      <c r="I213" s="122"/>
      <c r="J213" s="122"/>
      <c r="K213" s="135"/>
      <c r="L213" s="134"/>
      <c r="M213" s="134"/>
      <c r="N213" s="135"/>
      <c r="O213" s="266"/>
      <c r="P213" s="89"/>
      <c r="R213" t="str">
        <f t="shared" si="39"/>
        <v/>
      </c>
      <c r="S213" t="str">
        <f t="shared" si="40"/>
        <v/>
      </c>
      <c r="T213" t="str">
        <f t="shared" si="41"/>
        <v/>
      </c>
      <c r="AD213" t="s">
        <v>3091</v>
      </c>
      <c r="AE213" t="s">
        <v>3092</v>
      </c>
      <c r="AF213" t="str">
        <f t="shared" si="42"/>
        <v>A679072</v>
      </c>
      <c r="AG213" t="str">
        <f>VLOOKUP(AF213,AKT!$C$4:$E$324,3,FALSE)</f>
        <v>0942</v>
      </c>
    </row>
    <row r="214" spans="1:33">
      <c r="A214" s="90"/>
      <c r="B214" s="85" t="str">
        <f t="shared" si="35"/>
        <v/>
      </c>
      <c r="C214" s="90"/>
      <c r="D214" s="85" t="str">
        <f t="shared" si="36"/>
        <v/>
      </c>
      <c r="E214" s="123"/>
      <c r="F214" s="85" t="str">
        <f t="shared" si="37"/>
        <v/>
      </c>
      <c r="G214" s="85" t="str">
        <f t="shared" si="38"/>
        <v/>
      </c>
      <c r="H214" s="122"/>
      <c r="I214" s="122"/>
      <c r="J214" s="122"/>
      <c r="K214" s="135"/>
      <c r="L214" s="134"/>
      <c r="M214" s="134"/>
      <c r="N214" s="135"/>
      <c r="O214" s="266"/>
      <c r="P214" s="89"/>
      <c r="R214" t="str">
        <f t="shared" si="39"/>
        <v/>
      </c>
      <c r="S214" t="str">
        <f t="shared" si="40"/>
        <v/>
      </c>
      <c r="T214" t="str">
        <f t="shared" si="41"/>
        <v/>
      </c>
      <c r="AD214" t="s">
        <v>3093</v>
      </c>
      <c r="AE214" t="s">
        <v>3094</v>
      </c>
      <c r="AF214" t="str">
        <f t="shared" si="42"/>
        <v>A679072</v>
      </c>
      <c r="AG214" t="str">
        <f>VLOOKUP(AF214,AKT!$C$4:$E$324,3,FALSE)</f>
        <v>0942</v>
      </c>
    </row>
    <row r="215" spans="1:33">
      <c r="A215" s="90"/>
      <c r="B215" s="85" t="str">
        <f t="shared" si="35"/>
        <v/>
      </c>
      <c r="C215" s="90"/>
      <c r="D215" s="85" t="str">
        <f t="shared" si="36"/>
        <v/>
      </c>
      <c r="E215" s="123"/>
      <c r="F215" s="85" t="str">
        <f t="shared" si="37"/>
        <v/>
      </c>
      <c r="G215" s="85" t="str">
        <f t="shared" si="38"/>
        <v/>
      </c>
      <c r="H215" s="122"/>
      <c r="I215" s="122"/>
      <c r="J215" s="122"/>
      <c r="K215" s="135"/>
      <c r="L215" s="134"/>
      <c r="M215" s="134"/>
      <c r="N215" s="135"/>
      <c r="O215" s="266"/>
      <c r="P215" s="89"/>
      <c r="R215" t="str">
        <f t="shared" si="39"/>
        <v/>
      </c>
      <c r="S215" t="str">
        <f t="shared" si="40"/>
        <v/>
      </c>
      <c r="T215" t="str">
        <f t="shared" si="41"/>
        <v/>
      </c>
      <c r="AD215" t="s">
        <v>3095</v>
      </c>
      <c r="AE215" t="s">
        <v>3096</v>
      </c>
      <c r="AF215" t="str">
        <f t="shared" si="42"/>
        <v>A679072</v>
      </c>
      <c r="AG215" t="str">
        <f>VLOOKUP(AF215,AKT!$C$4:$E$324,3,FALSE)</f>
        <v>0942</v>
      </c>
    </row>
    <row r="216" spans="1:33">
      <c r="A216" s="90"/>
      <c r="B216" s="85" t="str">
        <f t="shared" si="35"/>
        <v/>
      </c>
      <c r="C216" s="90"/>
      <c r="D216" s="85" t="str">
        <f t="shared" si="36"/>
        <v/>
      </c>
      <c r="E216" s="123"/>
      <c r="F216" s="85" t="str">
        <f t="shared" si="37"/>
        <v/>
      </c>
      <c r="G216" s="85" t="str">
        <f t="shared" si="38"/>
        <v/>
      </c>
      <c r="H216" s="122"/>
      <c r="I216" s="122"/>
      <c r="J216" s="122"/>
      <c r="K216" s="135"/>
      <c r="L216" s="134"/>
      <c r="M216" s="134"/>
      <c r="N216" s="135"/>
      <c r="O216" s="266"/>
      <c r="P216" s="89"/>
      <c r="R216" t="str">
        <f t="shared" si="39"/>
        <v/>
      </c>
      <c r="S216" t="str">
        <f t="shared" si="40"/>
        <v/>
      </c>
      <c r="T216" t="str">
        <f t="shared" si="41"/>
        <v/>
      </c>
      <c r="AD216" t="s">
        <v>3097</v>
      </c>
      <c r="AE216" t="s">
        <v>3098</v>
      </c>
      <c r="AF216" t="str">
        <f t="shared" si="42"/>
        <v>A679072</v>
      </c>
      <c r="AG216" t="str">
        <f>VLOOKUP(AF216,AKT!$C$4:$E$324,3,FALSE)</f>
        <v>0942</v>
      </c>
    </row>
    <row r="217" spans="1:33">
      <c r="A217" s="90"/>
      <c r="B217" s="85" t="str">
        <f t="shared" si="35"/>
        <v/>
      </c>
      <c r="C217" s="90"/>
      <c r="D217" s="85" t="str">
        <f t="shared" si="36"/>
        <v/>
      </c>
      <c r="E217" s="123"/>
      <c r="F217" s="85" t="str">
        <f t="shared" si="37"/>
        <v/>
      </c>
      <c r="G217" s="85" t="str">
        <f t="shared" si="38"/>
        <v/>
      </c>
      <c r="H217" s="122"/>
      <c r="I217" s="122"/>
      <c r="J217" s="122"/>
      <c r="K217" s="135"/>
      <c r="L217" s="134"/>
      <c r="M217" s="134"/>
      <c r="N217" s="135"/>
      <c r="O217" s="266"/>
      <c r="P217" s="89"/>
      <c r="R217" t="str">
        <f t="shared" si="39"/>
        <v/>
      </c>
      <c r="S217" t="str">
        <f t="shared" si="40"/>
        <v/>
      </c>
      <c r="T217" t="str">
        <f t="shared" si="41"/>
        <v/>
      </c>
      <c r="AD217" t="s">
        <v>3099</v>
      </c>
      <c r="AE217" t="s">
        <v>3100</v>
      </c>
      <c r="AF217" t="str">
        <f t="shared" si="42"/>
        <v>A679072</v>
      </c>
      <c r="AG217" t="str">
        <f>VLOOKUP(AF217,AKT!$C$4:$E$324,3,FALSE)</f>
        <v>0942</v>
      </c>
    </row>
    <row r="218" spans="1:33">
      <c r="A218" s="90"/>
      <c r="B218" s="85" t="str">
        <f t="shared" si="35"/>
        <v/>
      </c>
      <c r="C218" s="90"/>
      <c r="D218" s="85" t="str">
        <f t="shared" si="36"/>
        <v/>
      </c>
      <c r="E218" s="123"/>
      <c r="F218" s="85" t="str">
        <f t="shared" si="37"/>
        <v/>
      </c>
      <c r="G218" s="85" t="str">
        <f t="shared" si="38"/>
        <v/>
      </c>
      <c r="H218" s="122"/>
      <c r="I218" s="122"/>
      <c r="J218" s="122"/>
      <c r="K218" s="135"/>
      <c r="L218" s="134"/>
      <c r="M218" s="134"/>
      <c r="N218" s="135"/>
      <c r="O218" s="266"/>
      <c r="P218" s="89"/>
      <c r="R218" t="str">
        <f t="shared" si="39"/>
        <v/>
      </c>
      <c r="S218" t="str">
        <f t="shared" si="40"/>
        <v/>
      </c>
      <c r="T218" t="str">
        <f t="shared" si="41"/>
        <v/>
      </c>
      <c r="AD218" t="s">
        <v>3101</v>
      </c>
      <c r="AE218" t="s">
        <v>3102</v>
      </c>
      <c r="AF218" t="str">
        <f t="shared" si="42"/>
        <v>A679073</v>
      </c>
      <c r="AG218" t="str">
        <f>VLOOKUP(AF218,AKT!$C$4:$E$324,3,FALSE)</f>
        <v>0942</v>
      </c>
    </row>
    <row r="219" spans="1:33">
      <c r="A219" s="90"/>
      <c r="B219" s="85" t="str">
        <f t="shared" si="35"/>
        <v/>
      </c>
      <c r="C219" s="90"/>
      <c r="D219" s="85" t="str">
        <f t="shared" si="36"/>
        <v/>
      </c>
      <c r="E219" s="123"/>
      <c r="F219" s="85" t="str">
        <f t="shared" si="37"/>
        <v/>
      </c>
      <c r="G219" s="85" t="str">
        <f t="shared" si="38"/>
        <v/>
      </c>
      <c r="H219" s="122"/>
      <c r="I219" s="122"/>
      <c r="J219" s="122"/>
      <c r="K219" s="135"/>
      <c r="L219" s="134"/>
      <c r="M219" s="134"/>
      <c r="N219" s="135"/>
      <c r="O219" s="266"/>
      <c r="P219" s="89"/>
      <c r="R219" t="str">
        <f t="shared" si="39"/>
        <v/>
      </c>
      <c r="S219" t="str">
        <f t="shared" si="40"/>
        <v/>
      </c>
      <c r="T219" t="str">
        <f t="shared" si="41"/>
        <v/>
      </c>
      <c r="AD219" t="s">
        <v>2178</v>
      </c>
      <c r="AE219" t="s">
        <v>2179</v>
      </c>
      <c r="AF219" t="str">
        <f t="shared" si="42"/>
        <v>A679073</v>
      </c>
      <c r="AG219" t="str">
        <f>VLOOKUP(AF219,AKT!$C$4:$E$324,3,FALSE)</f>
        <v>0942</v>
      </c>
    </row>
    <row r="220" spans="1:33">
      <c r="A220" s="90"/>
      <c r="B220" s="85" t="str">
        <f t="shared" si="35"/>
        <v/>
      </c>
      <c r="C220" s="90"/>
      <c r="D220" s="85" t="str">
        <f t="shared" si="36"/>
        <v/>
      </c>
      <c r="E220" s="123"/>
      <c r="F220" s="85" t="str">
        <f t="shared" si="37"/>
        <v/>
      </c>
      <c r="G220" s="85" t="str">
        <f t="shared" si="38"/>
        <v/>
      </c>
      <c r="H220" s="122"/>
      <c r="I220" s="122"/>
      <c r="J220" s="122"/>
      <c r="K220" s="135"/>
      <c r="L220" s="134"/>
      <c r="M220" s="134"/>
      <c r="N220" s="135"/>
      <c r="O220" s="266"/>
      <c r="P220" s="89"/>
      <c r="R220" t="str">
        <f t="shared" si="39"/>
        <v/>
      </c>
      <c r="S220" t="str">
        <f t="shared" si="40"/>
        <v/>
      </c>
      <c r="T220" t="str">
        <f t="shared" si="41"/>
        <v/>
      </c>
      <c r="AD220" t="s">
        <v>2180</v>
      </c>
      <c r="AE220" t="s">
        <v>2181</v>
      </c>
      <c r="AF220" t="str">
        <f t="shared" si="42"/>
        <v>A679073</v>
      </c>
      <c r="AG220" t="str">
        <f>VLOOKUP(AF220,AKT!$C$4:$E$324,3,FALSE)</f>
        <v>0942</v>
      </c>
    </row>
    <row r="221" spans="1:33">
      <c r="A221" s="90"/>
      <c r="B221" s="85" t="str">
        <f t="shared" si="35"/>
        <v/>
      </c>
      <c r="C221" s="90"/>
      <c r="D221" s="85" t="str">
        <f t="shared" si="36"/>
        <v/>
      </c>
      <c r="E221" s="123"/>
      <c r="F221" s="85" t="str">
        <f t="shared" si="37"/>
        <v/>
      </c>
      <c r="G221" s="85" t="str">
        <f t="shared" si="38"/>
        <v/>
      </c>
      <c r="H221" s="122"/>
      <c r="I221" s="122"/>
      <c r="J221" s="122"/>
      <c r="K221" s="135"/>
      <c r="L221" s="134"/>
      <c r="M221" s="134"/>
      <c r="N221" s="135"/>
      <c r="O221" s="266"/>
      <c r="P221" s="89"/>
      <c r="R221" t="str">
        <f t="shared" si="39"/>
        <v/>
      </c>
      <c r="S221" t="str">
        <f t="shared" si="40"/>
        <v/>
      </c>
      <c r="T221" t="str">
        <f t="shared" si="41"/>
        <v/>
      </c>
      <c r="AD221" t="s">
        <v>2182</v>
      </c>
      <c r="AE221" t="s">
        <v>2183</v>
      </c>
      <c r="AF221" t="str">
        <f t="shared" si="42"/>
        <v>A679073</v>
      </c>
      <c r="AG221" t="str">
        <f>VLOOKUP(AF221,AKT!$C$4:$E$324,3,FALSE)</f>
        <v>0942</v>
      </c>
    </row>
    <row r="222" spans="1:33">
      <c r="A222" s="90"/>
      <c r="B222" s="85" t="str">
        <f t="shared" si="35"/>
        <v/>
      </c>
      <c r="C222" s="90"/>
      <c r="D222" s="85" t="str">
        <f t="shared" si="36"/>
        <v/>
      </c>
      <c r="E222" s="123"/>
      <c r="F222" s="85" t="str">
        <f t="shared" si="37"/>
        <v/>
      </c>
      <c r="G222" s="85" t="str">
        <f t="shared" si="38"/>
        <v/>
      </c>
      <c r="H222" s="122"/>
      <c r="I222" s="122"/>
      <c r="J222" s="122"/>
      <c r="K222" s="135"/>
      <c r="L222" s="134"/>
      <c r="M222" s="134"/>
      <c r="N222" s="135"/>
      <c r="O222" s="266"/>
      <c r="P222" s="89"/>
      <c r="R222" t="str">
        <f t="shared" si="39"/>
        <v/>
      </c>
      <c r="S222" t="str">
        <f t="shared" si="40"/>
        <v/>
      </c>
      <c r="T222" t="str">
        <f t="shared" si="41"/>
        <v/>
      </c>
      <c r="AD222" t="s">
        <v>2184</v>
      </c>
      <c r="AE222" t="s">
        <v>2185</v>
      </c>
      <c r="AF222" t="str">
        <f t="shared" si="42"/>
        <v>A679073</v>
      </c>
      <c r="AG222" t="str">
        <f>VLOOKUP(AF222,AKT!$C$4:$E$324,3,FALSE)</f>
        <v>0942</v>
      </c>
    </row>
    <row r="223" spans="1:33">
      <c r="A223" s="90"/>
      <c r="B223" s="85" t="str">
        <f t="shared" si="35"/>
        <v/>
      </c>
      <c r="C223" s="90"/>
      <c r="D223" s="85" t="str">
        <f t="shared" si="36"/>
        <v/>
      </c>
      <c r="E223" s="123"/>
      <c r="F223" s="85" t="str">
        <f t="shared" si="37"/>
        <v/>
      </c>
      <c r="G223" s="85" t="str">
        <f t="shared" si="38"/>
        <v/>
      </c>
      <c r="H223" s="122"/>
      <c r="I223" s="122"/>
      <c r="J223" s="122"/>
      <c r="K223" s="135"/>
      <c r="L223" s="134"/>
      <c r="M223" s="134"/>
      <c r="N223" s="135"/>
      <c r="O223" s="266"/>
      <c r="P223" s="89"/>
      <c r="R223" t="str">
        <f t="shared" si="39"/>
        <v/>
      </c>
      <c r="S223" t="str">
        <f t="shared" si="40"/>
        <v/>
      </c>
      <c r="T223" t="str">
        <f t="shared" si="41"/>
        <v/>
      </c>
      <c r="AD223" t="s">
        <v>2186</v>
      </c>
      <c r="AE223" t="s">
        <v>2187</v>
      </c>
      <c r="AF223" t="str">
        <f t="shared" si="42"/>
        <v>A679073</v>
      </c>
      <c r="AG223" t="str">
        <f>VLOOKUP(AF223,AKT!$C$4:$E$324,3,FALSE)</f>
        <v>0942</v>
      </c>
    </row>
    <row r="224" spans="1:33">
      <c r="A224" s="90"/>
      <c r="B224" s="85" t="str">
        <f t="shared" si="35"/>
        <v/>
      </c>
      <c r="C224" s="90"/>
      <c r="D224" s="85" t="str">
        <f t="shared" si="36"/>
        <v/>
      </c>
      <c r="E224" s="123"/>
      <c r="F224" s="85" t="str">
        <f t="shared" si="37"/>
        <v/>
      </c>
      <c r="G224" s="85" t="str">
        <f t="shared" si="38"/>
        <v/>
      </c>
      <c r="H224" s="122"/>
      <c r="I224" s="122"/>
      <c r="J224" s="122"/>
      <c r="K224" s="135"/>
      <c r="L224" s="134"/>
      <c r="M224" s="134"/>
      <c r="N224" s="135"/>
      <c r="O224" s="266"/>
      <c r="P224" s="89"/>
      <c r="R224" t="str">
        <f t="shared" si="39"/>
        <v/>
      </c>
      <c r="S224" t="str">
        <f t="shared" si="40"/>
        <v/>
      </c>
      <c r="T224" t="str">
        <f t="shared" si="41"/>
        <v/>
      </c>
      <c r="AD224" t="s">
        <v>2188</v>
      </c>
      <c r="AE224" t="s">
        <v>2189</v>
      </c>
      <c r="AF224" t="str">
        <f t="shared" si="42"/>
        <v>A679073</v>
      </c>
      <c r="AG224" t="str">
        <f>VLOOKUP(AF224,AKT!$C$4:$E$324,3,FALSE)</f>
        <v>0942</v>
      </c>
    </row>
    <row r="225" spans="1:33">
      <c r="A225" s="90"/>
      <c r="B225" s="85" t="str">
        <f t="shared" si="35"/>
        <v/>
      </c>
      <c r="C225" s="90"/>
      <c r="D225" s="85" t="str">
        <f t="shared" si="36"/>
        <v/>
      </c>
      <c r="E225" s="123"/>
      <c r="F225" s="85" t="str">
        <f t="shared" si="37"/>
        <v/>
      </c>
      <c r="G225" s="85" t="str">
        <f t="shared" si="38"/>
        <v/>
      </c>
      <c r="H225" s="122"/>
      <c r="I225" s="122"/>
      <c r="J225" s="122"/>
      <c r="K225" s="135"/>
      <c r="L225" s="134"/>
      <c r="M225" s="134"/>
      <c r="N225" s="135"/>
      <c r="O225" s="266"/>
      <c r="P225" s="89"/>
      <c r="R225" t="str">
        <f t="shared" si="39"/>
        <v/>
      </c>
      <c r="S225" t="str">
        <f t="shared" si="40"/>
        <v/>
      </c>
      <c r="T225" t="str">
        <f t="shared" si="41"/>
        <v/>
      </c>
      <c r="AD225" t="s">
        <v>2190</v>
      </c>
      <c r="AE225" t="s">
        <v>2191</v>
      </c>
      <c r="AF225" t="str">
        <f t="shared" si="42"/>
        <v>A679073</v>
      </c>
      <c r="AG225" t="str">
        <f>VLOOKUP(AF225,AKT!$C$4:$E$324,3,FALSE)</f>
        <v>0942</v>
      </c>
    </row>
    <row r="226" spans="1:33">
      <c r="A226" s="90"/>
      <c r="B226" s="85" t="str">
        <f t="shared" si="35"/>
        <v/>
      </c>
      <c r="C226" s="90"/>
      <c r="D226" s="85" t="str">
        <f t="shared" si="36"/>
        <v/>
      </c>
      <c r="E226" s="123"/>
      <c r="F226" s="85" t="str">
        <f t="shared" si="37"/>
        <v/>
      </c>
      <c r="G226" s="85" t="str">
        <f t="shared" si="38"/>
        <v/>
      </c>
      <c r="H226" s="122"/>
      <c r="I226" s="122"/>
      <c r="J226" s="122"/>
      <c r="K226" s="135"/>
      <c r="L226" s="134"/>
      <c r="M226" s="134"/>
      <c r="N226" s="135"/>
      <c r="O226" s="266"/>
      <c r="P226" s="89"/>
      <c r="R226" t="str">
        <f t="shared" si="39"/>
        <v/>
      </c>
      <c r="S226" t="str">
        <f t="shared" si="40"/>
        <v/>
      </c>
      <c r="T226" t="str">
        <f t="shared" si="41"/>
        <v/>
      </c>
      <c r="AD226" t="s">
        <v>2192</v>
      </c>
      <c r="AE226" t="s">
        <v>2193</v>
      </c>
      <c r="AF226" t="str">
        <f t="shared" si="42"/>
        <v>A679073</v>
      </c>
      <c r="AG226" t="str">
        <f>VLOOKUP(AF226,AKT!$C$4:$E$324,3,FALSE)</f>
        <v>0942</v>
      </c>
    </row>
    <row r="227" spans="1:33">
      <c r="A227" s="90"/>
      <c r="B227" s="85" t="str">
        <f t="shared" si="35"/>
        <v/>
      </c>
      <c r="C227" s="90"/>
      <c r="D227" s="85" t="str">
        <f t="shared" si="36"/>
        <v/>
      </c>
      <c r="E227" s="123"/>
      <c r="F227" s="85" t="str">
        <f t="shared" si="37"/>
        <v/>
      </c>
      <c r="G227" s="85" t="str">
        <f t="shared" si="38"/>
        <v/>
      </c>
      <c r="H227" s="122"/>
      <c r="I227" s="122"/>
      <c r="J227" s="122"/>
      <c r="K227" s="135"/>
      <c r="L227" s="134"/>
      <c r="M227" s="134"/>
      <c r="N227" s="135"/>
      <c r="O227" s="266"/>
      <c r="P227" s="89"/>
      <c r="R227" t="str">
        <f t="shared" si="39"/>
        <v/>
      </c>
      <c r="S227" t="str">
        <f t="shared" si="40"/>
        <v/>
      </c>
      <c r="T227" t="str">
        <f t="shared" si="41"/>
        <v/>
      </c>
      <c r="AD227" t="s">
        <v>2194</v>
      </c>
      <c r="AE227" t="s">
        <v>2195</v>
      </c>
      <c r="AF227" t="str">
        <f t="shared" si="42"/>
        <v>A679073</v>
      </c>
      <c r="AG227" t="str">
        <f>VLOOKUP(AF227,AKT!$C$4:$E$324,3,FALSE)</f>
        <v>0942</v>
      </c>
    </row>
    <row r="228" spans="1:33">
      <c r="A228" s="90"/>
      <c r="B228" s="85" t="str">
        <f t="shared" si="35"/>
        <v/>
      </c>
      <c r="C228" s="90"/>
      <c r="D228" s="85" t="str">
        <f t="shared" si="36"/>
        <v/>
      </c>
      <c r="E228" s="123"/>
      <c r="F228" s="85" t="str">
        <f t="shared" si="37"/>
        <v/>
      </c>
      <c r="G228" s="85" t="str">
        <f t="shared" si="38"/>
        <v/>
      </c>
      <c r="H228" s="122"/>
      <c r="I228" s="122"/>
      <c r="J228" s="122"/>
      <c r="K228" s="135"/>
      <c r="L228" s="134"/>
      <c r="M228" s="134"/>
      <c r="N228" s="135"/>
      <c r="O228" s="266"/>
      <c r="P228" s="89"/>
      <c r="R228" t="str">
        <f t="shared" si="39"/>
        <v/>
      </c>
      <c r="S228" t="str">
        <f t="shared" si="40"/>
        <v/>
      </c>
      <c r="T228" t="str">
        <f t="shared" si="41"/>
        <v/>
      </c>
      <c r="AD228" t="s">
        <v>2196</v>
      </c>
      <c r="AE228" t="s">
        <v>2197</v>
      </c>
      <c r="AF228" t="str">
        <f t="shared" si="42"/>
        <v>A679073</v>
      </c>
      <c r="AG228" t="str">
        <f>VLOOKUP(AF228,AKT!$C$4:$E$324,3,FALSE)</f>
        <v>0942</v>
      </c>
    </row>
    <row r="229" spans="1:33">
      <c r="A229" s="90"/>
      <c r="B229" s="85" t="str">
        <f t="shared" si="35"/>
        <v/>
      </c>
      <c r="C229" s="90"/>
      <c r="D229" s="85" t="str">
        <f t="shared" si="36"/>
        <v/>
      </c>
      <c r="E229" s="123"/>
      <c r="F229" s="85" t="str">
        <f t="shared" si="37"/>
        <v/>
      </c>
      <c r="G229" s="85" t="str">
        <f t="shared" si="38"/>
        <v/>
      </c>
      <c r="H229" s="122"/>
      <c r="I229" s="122"/>
      <c r="J229" s="122"/>
      <c r="K229" s="135"/>
      <c r="L229" s="134"/>
      <c r="M229" s="134"/>
      <c r="N229" s="135"/>
      <c r="O229" s="266"/>
      <c r="P229" s="89"/>
      <c r="R229" t="str">
        <f t="shared" si="39"/>
        <v/>
      </c>
      <c r="S229" t="str">
        <f t="shared" si="40"/>
        <v/>
      </c>
      <c r="T229" t="str">
        <f t="shared" si="41"/>
        <v/>
      </c>
      <c r="AD229" t="s">
        <v>2198</v>
      </c>
      <c r="AE229" t="s">
        <v>2199</v>
      </c>
      <c r="AF229" t="str">
        <f t="shared" si="42"/>
        <v>A679073</v>
      </c>
      <c r="AG229" t="str">
        <f>VLOOKUP(AF229,AKT!$C$4:$E$324,3,FALSE)</f>
        <v>0942</v>
      </c>
    </row>
    <row r="230" spans="1:33">
      <c r="A230" s="90"/>
      <c r="B230" s="85" t="str">
        <f t="shared" si="35"/>
        <v/>
      </c>
      <c r="C230" s="90"/>
      <c r="D230" s="85" t="str">
        <f t="shared" si="36"/>
        <v/>
      </c>
      <c r="E230" s="123"/>
      <c r="F230" s="85" t="str">
        <f t="shared" si="37"/>
        <v/>
      </c>
      <c r="G230" s="85" t="str">
        <f t="shared" si="38"/>
        <v/>
      </c>
      <c r="H230" s="122"/>
      <c r="I230" s="122"/>
      <c r="J230" s="122"/>
      <c r="K230" s="135"/>
      <c r="L230" s="134"/>
      <c r="M230" s="134"/>
      <c r="N230" s="135"/>
      <c r="O230" s="266"/>
      <c r="P230" s="89"/>
      <c r="R230" t="str">
        <f t="shared" si="39"/>
        <v/>
      </c>
      <c r="S230" t="str">
        <f t="shared" si="40"/>
        <v/>
      </c>
      <c r="T230" t="str">
        <f t="shared" si="41"/>
        <v/>
      </c>
      <c r="AD230" t="s">
        <v>2200</v>
      </c>
      <c r="AE230" t="s">
        <v>2201</v>
      </c>
      <c r="AF230" t="str">
        <f t="shared" si="42"/>
        <v>A679073</v>
      </c>
      <c r="AG230" t="str">
        <f>VLOOKUP(AF230,AKT!$C$4:$E$324,3,FALSE)</f>
        <v>0942</v>
      </c>
    </row>
    <row r="231" spans="1:33">
      <c r="A231" s="90"/>
      <c r="B231" s="85" t="str">
        <f t="shared" si="35"/>
        <v/>
      </c>
      <c r="C231" s="90"/>
      <c r="D231" s="85" t="str">
        <f t="shared" si="36"/>
        <v/>
      </c>
      <c r="E231" s="123"/>
      <c r="F231" s="85" t="str">
        <f t="shared" si="37"/>
        <v/>
      </c>
      <c r="G231" s="85" t="str">
        <f t="shared" si="38"/>
        <v/>
      </c>
      <c r="H231" s="122"/>
      <c r="I231" s="122"/>
      <c r="J231" s="122"/>
      <c r="K231" s="135"/>
      <c r="L231" s="134"/>
      <c r="M231" s="134"/>
      <c r="N231" s="135"/>
      <c r="O231" s="266"/>
      <c r="P231" s="89"/>
      <c r="R231" t="str">
        <f t="shared" si="39"/>
        <v/>
      </c>
      <c r="S231" t="str">
        <f t="shared" si="40"/>
        <v/>
      </c>
      <c r="T231" t="str">
        <f t="shared" si="41"/>
        <v/>
      </c>
      <c r="AD231" t="s">
        <v>2202</v>
      </c>
      <c r="AE231" t="s">
        <v>2203</v>
      </c>
      <c r="AF231" t="str">
        <f t="shared" si="42"/>
        <v>A679073</v>
      </c>
      <c r="AG231" t="str">
        <f>VLOOKUP(AF231,AKT!$C$4:$E$324,3,FALSE)</f>
        <v>0942</v>
      </c>
    </row>
    <row r="232" spans="1:33">
      <c r="A232" s="90"/>
      <c r="B232" s="85" t="str">
        <f t="shared" si="35"/>
        <v/>
      </c>
      <c r="C232" s="90"/>
      <c r="D232" s="85" t="str">
        <f t="shared" si="36"/>
        <v/>
      </c>
      <c r="E232" s="123"/>
      <c r="F232" s="85" t="str">
        <f t="shared" si="37"/>
        <v/>
      </c>
      <c r="G232" s="85" t="str">
        <f t="shared" si="38"/>
        <v/>
      </c>
      <c r="H232" s="122"/>
      <c r="I232" s="122"/>
      <c r="J232" s="122"/>
      <c r="K232" s="135"/>
      <c r="L232" s="134"/>
      <c r="M232" s="134"/>
      <c r="N232" s="135"/>
      <c r="O232" s="266"/>
      <c r="P232" s="89"/>
      <c r="R232" t="str">
        <f t="shared" si="39"/>
        <v/>
      </c>
      <c r="S232" t="str">
        <f t="shared" si="40"/>
        <v/>
      </c>
      <c r="T232" t="str">
        <f t="shared" si="41"/>
        <v/>
      </c>
      <c r="AD232" t="s">
        <v>2204</v>
      </c>
      <c r="AE232" t="s">
        <v>2205</v>
      </c>
      <c r="AF232" t="str">
        <f t="shared" si="42"/>
        <v>A679073</v>
      </c>
      <c r="AG232" t="str">
        <f>VLOOKUP(AF232,AKT!$C$4:$E$324,3,FALSE)</f>
        <v>0942</v>
      </c>
    </row>
    <row r="233" spans="1:33">
      <c r="A233" s="90"/>
      <c r="B233" s="85" t="str">
        <f t="shared" si="35"/>
        <v/>
      </c>
      <c r="C233" s="90"/>
      <c r="D233" s="85" t="str">
        <f t="shared" si="36"/>
        <v/>
      </c>
      <c r="E233" s="123"/>
      <c r="F233" s="85" t="str">
        <f t="shared" si="37"/>
        <v/>
      </c>
      <c r="G233" s="85" t="str">
        <f t="shared" si="38"/>
        <v/>
      </c>
      <c r="H233" s="122"/>
      <c r="I233" s="122"/>
      <c r="J233" s="122"/>
      <c r="K233" s="135"/>
      <c r="L233" s="134"/>
      <c r="M233" s="134"/>
      <c r="N233" s="135"/>
      <c r="O233" s="266"/>
      <c r="P233" s="89"/>
      <c r="R233" t="str">
        <f t="shared" si="39"/>
        <v/>
      </c>
      <c r="S233" t="str">
        <f t="shared" si="40"/>
        <v/>
      </c>
      <c r="T233" t="str">
        <f t="shared" si="41"/>
        <v/>
      </c>
      <c r="AD233" t="s">
        <v>3103</v>
      </c>
      <c r="AE233" t="s">
        <v>3104</v>
      </c>
      <c r="AF233" t="str">
        <f t="shared" si="42"/>
        <v>A679073</v>
      </c>
      <c r="AG233" t="str">
        <f>VLOOKUP(AF233,AKT!$C$4:$E$324,3,FALSE)</f>
        <v>0942</v>
      </c>
    </row>
    <row r="234" spans="1:33">
      <c r="A234" s="90"/>
      <c r="B234" s="85" t="str">
        <f t="shared" si="35"/>
        <v/>
      </c>
      <c r="C234" s="90"/>
      <c r="D234" s="85" t="str">
        <f t="shared" si="36"/>
        <v/>
      </c>
      <c r="E234" s="123"/>
      <c r="F234" s="85" t="str">
        <f t="shared" si="37"/>
        <v/>
      </c>
      <c r="G234" s="85" t="str">
        <f t="shared" si="38"/>
        <v/>
      </c>
      <c r="H234" s="122"/>
      <c r="I234" s="122"/>
      <c r="J234" s="122"/>
      <c r="K234" s="135"/>
      <c r="L234" s="134"/>
      <c r="M234" s="134"/>
      <c r="N234" s="135"/>
      <c r="O234" s="266"/>
      <c r="P234" s="89"/>
      <c r="R234" t="str">
        <f t="shared" si="39"/>
        <v/>
      </c>
      <c r="S234" t="str">
        <f t="shared" si="40"/>
        <v/>
      </c>
      <c r="T234" t="str">
        <f t="shared" si="41"/>
        <v/>
      </c>
      <c r="AD234" t="s">
        <v>3105</v>
      </c>
      <c r="AE234" t="s">
        <v>3106</v>
      </c>
      <c r="AF234" t="str">
        <f t="shared" si="42"/>
        <v>A679073</v>
      </c>
      <c r="AG234" t="str">
        <f>VLOOKUP(AF234,AKT!$C$4:$E$324,3,FALSE)</f>
        <v>0942</v>
      </c>
    </row>
    <row r="235" spans="1:33">
      <c r="A235" s="90"/>
      <c r="B235" s="85" t="str">
        <f t="shared" si="35"/>
        <v/>
      </c>
      <c r="C235" s="90"/>
      <c r="D235" s="85" t="str">
        <f t="shared" si="36"/>
        <v/>
      </c>
      <c r="E235" s="123"/>
      <c r="F235" s="85" t="str">
        <f t="shared" si="37"/>
        <v/>
      </c>
      <c r="G235" s="85" t="str">
        <f t="shared" si="38"/>
        <v/>
      </c>
      <c r="H235" s="122"/>
      <c r="I235" s="122"/>
      <c r="J235" s="122"/>
      <c r="K235" s="135"/>
      <c r="L235" s="134"/>
      <c r="M235" s="134"/>
      <c r="N235" s="135"/>
      <c r="O235" s="266"/>
      <c r="P235" s="89"/>
      <c r="R235" t="str">
        <f t="shared" si="39"/>
        <v/>
      </c>
      <c r="S235" t="str">
        <f t="shared" si="40"/>
        <v/>
      </c>
      <c r="T235" t="str">
        <f t="shared" si="41"/>
        <v/>
      </c>
      <c r="AD235" t="s">
        <v>3107</v>
      </c>
      <c r="AE235" t="s">
        <v>3108</v>
      </c>
      <c r="AF235" t="str">
        <f t="shared" si="42"/>
        <v>A679073</v>
      </c>
      <c r="AG235" t="str">
        <f>VLOOKUP(AF235,AKT!$C$4:$E$324,3,FALSE)</f>
        <v>0942</v>
      </c>
    </row>
    <row r="236" spans="1:33">
      <c r="A236" s="90"/>
      <c r="B236" s="85" t="str">
        <f t="shared" si="35"/>
        <v/>
      </c>
      <c r="C236" s="90"/>
      <c r="D236" s="85" t="str">
        <f t="shared" si="36"/>
        <v/>
      </c>
      <c r="E236" s="123"/>
      <c r="F236" s="85" t="str">
        <f t="shared" si="37"/>
        <v/>
      </c>
      <c r="G236" s="85" t="str">
        <f t="shared" si="38"/>
        <v/>
      </c>
      <c r="H236" s="122"/>
      <c r="I236" s="122"/>
      <c r="J236" s="122"/>
      <c r="K236" s="135"/>
      <c r="L236" s="134"/>
      <c r="M236" s="134"/>
      <c r="N236" s="135"/>
      <c r="O236" s="266"/>
      <c r="P236" s="89"/>
      <c r="R236" t="str">
        <f t="shared" si="39"/>
        <v/>
      </c>
      <c r="S236" t="str">
        <f t="shared" si="40"/>
        <v/>
      </c>
      <c r="T236" t="str">
        <f t="shared" si="41"/>
        <v/>
      </c>
      <c r="AD236" t="s">
        <v>3109</v>
      </c>
      <c r="AE236" t="s">
        <v>3110</v>
      </c>
      <c r="AF236" t="str">
        <f t="shared" si="42"/>
        <v>A679074</v>
      </c>
      <c r="AG236" t="str">
        <f>VLOOKUP(AF236,AKT!$C$4:$E$324,3,FALSE)</f>
        <v>0942</v>
      </c>
    </row>
    <row r="237" spans="1:33">
      <c r="A237" s="90"/>
      <c r="B237" s="85" t="str">
        <f t="shared" si="35"/>
        <v/>
      </c>
      <c r="C237" s="90"/>
      <c r="D237" s="85" t="str">
        <f t="shared" si="36"/>
        <v/>
      </c>
      <c r="E237" s="123"/>
      <c r="F237" s="85" t="str">
        <f t="shared" si="37"/>
        <v/>
      </c>
      <c r="G237" s="85" t="str">
        <f t="shared" si="38"/>
        <v/>
      </c>
      <c r="H237" s="122"/>
      <c r="I237" s="122"/>
      <c r="J237" s="122"/>
      <c r="K237" s="135"/>
      <c r="L237" s="134"/>
      <c r="M237" s="134"/>
      <c r="N237" s="135"/>
      <c r="O237" s="266"/>
      <c r="P237" s="89"/>
      <c r="R237" t="str">
        <f t="shared" si="39"/>
        <v/>
      </c>
      <c r="S237" t="str">
        <f t="shared" si="40"/>
        <v/>
      </c>
      <c r="T237" t="str">
        <f t="shared" si="41"/>
        <v/>
      </c>
      <c r="AD237" t="s">
        <v>738</v>
      </c>
      <c r="AE237" t="s">
        <v>739</v>
      </c>
      <c r="AF237" t="str">
        <f t="shared" si="42"/>
        <v>A679074</v>
      </c>
      <c r="AG237" t="str">
        <f>VLOOKUP(AF237,AKT!$C$4:$E$324,3,FALSE)</f>
        <v>0942</v>
      </c>
    </row>
    <row r="238" spans="1:33">
      <c r="A238" s="90"/>
      <c r="B238" s="85" t="str">
        <f t="shared" si="35"/>
        <v/>
      </c>
      <c r="C238" s="90"/>
      <c r="D238" s="85" t="str">
        <f t="shared" si="36"/>
        <v/>
      </c>
      <c r="E238" s="123"/>
      <c r="F238" s="85" t="str">
        <f t="shared" si="37"/>
        <v/>
      </c>
      <c r="G238" s="85" t="str">
        <f t="shared" si="38"/>
        <v/>
      </c>
      <c r="H238" s="122"/>
      <c r="I238" s="122"/>
      <c r="J238" s="122"/>
      <c r="K238" s="135"/>
      <c r="L238" s="134"/>
      <c r="M238" s="134"/>
      <c r="N238" s="135"/>
      <c r="O238" s="266"/>
      <c r="P238" s="89"/>
      <c r="R238" t="str">
        <f t="shared" si="39"/>
        <v/>
      </c>
      <c r="S238" t="str">
        <f t="shared" si="40"/>
        <v/>
      </c>
      <c r="T238" t="str">
        <f t="shared" si="41"/>
        <v/>
      </c>
      <c r="AD238" t="s">
        <v>740</v>
      </c>
      <c r="AE238" t="s">
        <v>741</v>
      </c>
      <c r="AF238" t="str">
        <f t="shared" si="42"/>
        <v>A679074</v>
      </c>
      <c r="AG238" t="str">
        <f>VLOOKUP(AF238,AKT!$C$4:$E$324,3,FALSE)</f>
        <v>0942</v>
      </c>
    </row>
    <row r="239" spans="1:33">
      <c r="A239" s="90"/>
      <c r="B239" s="85" t="str">
        <f t="shared" si="35"/>
        <v/>
      </c>
      <c r="C239" s="90"/>
      <c r="D239" s="85" t="str">
        <f t="shared" si="36"/>
        <v/>
      </c>
      <c r="E239" s="123"/>
      <c r="F239" s="85" t="str">
        <f t="shared" si="37"/>
        <v/>
      </c>
      <c r="G239" s="85" t="str">
        <f t="shared" si="38"/>
        <v/>
      </c>
      <c r="H239" s="122"/>
      <c r="I239" s="122"/>
      <c r="J239" s="122"/>
      <c r="K239" s="135"/>
      <c r="L239" s="134"/>
      <c r="M239" s="134"/>
      <c r="N239" s="135"/>
      <c r="O239" s="266"/>
      <c r="P239" s="89"/>
      <c r="R239" t="str">
        <f t="shared" si="39"/>
        <v/>
      </c>
      <c r="S239" t="str">
        <f t="shared" si="40"/>
        <v/>
      </c>
      <c r="T239" t="str">
        <f t="shared" si="41"/>
        <v/>
      </c>
      <c r="AD239" t="s">
        <v>742</v>
      </c>
      <c r="AE239" t="s">
        <v>743</v>
      </c>
      <c r="AF239" t="str">
        <f t="shared" si="42"/>
        <v>A679074</v>
      </c>
      <c r="AG239" t="str">
        <f>VLOOKUP(AF239,AKT!$C$4:$E$324,3,FALSE)</f>
        <v>0942</v>
      </c>
    </row>
    <row r="240" spans="1:33">
      <c r="A240" s="90"/>
      <c r="B240" s="85" t="str">
        <f t="shared" si="35"/>
        <v/>
      </c>
      <c r="C240" s="90"/>
      <c r="D240" s="85" t="str">
        <f t="shared" si="36"/>
        <v/>
      </c>
      <c r="E240" s="123"/>
      <c r="F240" s="85" t="str">
        <f t="shared" si="37"/>
        <v/>
      </c>
      <c r="G240" s="85" t="str">
        <f t="shared" si="38"/>
        <v/>
      </c>
      <c r="H240" s="122"/>
      <c r="I240" s="122"/>
      <c r="J240" s="122"/>
      <c r="K240" s="135"/>
      <c r="L240" s="134"/>
      <c r="M240" s="134"/>
      <c r="N240" s="135"/>
      <c r="O240" s="266"/>
      <c r="P240" s="89"/>
      <c r="R240" t="str">
        <f t="shared" si="39"/>
        <v/>
      </c>
      <c r="S240" t="str">
        <f t="shared" si="40"/>
        <v/>
      </c>
      <c r="T240" t="str">
        <f t="shared" si="41"/>
        <v/>
      </c>
      <c r="AD240" t="s">
        <v>744</v>
      </c>
      <c r="AE240" t="s">
        <v>745</v>
      </c>
      <c r="AF240" t="str">
        <f t="shared" si="42"/>
        <v>A679074</v>
      </c>
      <c r="AG240" t="str">
        <f>VLOOKUP(AF240,AKT!$C$4:$E$324,3,FALSE)</f>
        <v>0942</v>
      </c>
    </row>
    <row r="241" spans="1:33">
      <c r="A241" s="90"/>
      <c r="B241" s="85" t="str">
        <f t="shared" si="35"/>
        <v/>
      </c>
      <c r="C241" s="90"/>
      <c r="D241" s="85" t="str">
        <f t="shared" si="36"/>
        <v/>
      </c>
      <c r="E241" s="123"/>
      <c r="F241" s="85" t="str">
        <f t="shared" si="37"/>
        <v/>
      </c>
      <c r="G241" s="85" t="str">
        <f t="shared" si="38"/>
        <v/>
      </c>
      <c r="H241" s="122"/>
      <c r="I241" s="122"/>
      <c r="J241" s="122"/>
      <c r="K241" s="135"/>
      <c r="L241" s="134"/>
      <c r="M241" s="134"/>
      <c r="N241" s="135"/>
      <c r="O241" s="266"/>
      <c r="P241" s="89"/>
      <c r="R241" t="str">
        <f t="shared" si="39"/>
        <v/>
      </c>
      <c r="S241" t="str">
        <f t="shared" si="40"/>
        <v/>
      </c>
      <c r="T241" t="str">
        <f t="shared" si="41"/>
        <v/>
      </c>
      <c r="AD241" t="s">
        <v>746</v>
      </c>
      <c r="AE241" t="s">
        <v>747</v>
      </c>
      <c r="AF241" t="str">
        <f t="shared" si="42"/>
        <v>A679074</v>
      </c>
      <c r="AG241" t="str">
        <f>VLOOKUP(AF241,AKT!$C$4:$E$324,3,FALSE)</f>
        <v>0942</v>
      </c>
    </row>
    <row r="242" spans="1:33">
      <c r="A242" s="90"/>
      <c r="B242" s="85" t="str">
        <f t="shared" si="35"/>
        <v/>
      </c>
      <c r="C242" s="90"/>
      <c r="D242" s="85" t="str">
        <f t="shared" si="36"/>
        <v/>
      </c>
      <c r="E242" s="123"/>
      <c r="F242" s="85" t="str">
        <f t="shared" si="37"/>
        <v/>
      </c>
      <c r="G242" s="85" t="str">
        <f t="shared" si="38"/>
        <v/>
      </c>
      <c r="H242" s="122"/>
      <c r="I242" s="122"/>
      <c r="J242" s="122"/>
      <c r="K242" s="135"/>
      <c r="L242" s="134"/>
      <c r="M242" s="134"/>
      <c r="N242" s="135"/>
      <c r="O242" s="266"/>
      <c r="P242" s="89"/>
      <c r="R242" t="str">
        <f t="shared" si="39"/>
        <v/>
      </c>
      <c r="S242" t="str">
        <f t="shared" si="40"/>
        <v/>
      </c>
      <c r="T242" t="str">
        <f t="shared" si="41"/>
        <v/>
      </c>
      <c r="AD242" t="s">
        <v>748</v>
      </c>
      <c r="AE242" t="s">
        <v>749</v>
      </c>
      <c r="AF242" t="str">
        <f t="shared" si="42"/>
        <v>A679074</v>
      </c>
      <c r="AG242" t="str">
        <f>VLOOKUP(AF242,AKT!$C$4:$E$324,3,FALSE)</f>
        <v>0942</v>
      </c>
    </row>
    <row r="243" spans="1:33">
      <c r="A243" s="90"/>
      <c r="B243" s="85" t="str">
        <f t="shared" si="35"/>
        <v/>
      </c>
      <c r="C243" s="90"/>
      <c r="D243" s="85" t="str">
        <f t="shared" si="36"/>
        <v/>
      </c>
      <c r="E243" s="123"/>
      <c r="F243" s="85" t="str">
        <f t="shared" si="37"/>
        <v/>
      </c>
      <c r="G243" s="85" t="str">
        <f t="shared" si="38"/>
        <v/>
      </c>
      <c r="H243" s="122"/>
      <c r="I243" s="122"/>
      <c r="J243" s="122"/>
      <c r="K243" s="135"/>
      <c r="L243" s="134"/>
      <c r="M243" s="134"/>
      <c r="N243" s="135"/>
      <c r="O243" s="266"/>
      <c r="P243" s="89"/>
      <c r="R243" t="str">
        <f t="shared" si="39"/>
        <v/>
      </c>
      <c r="S243" t="str">
        <f t="shared" si="40"/>
        <v/>
      </c>
      <c r="T243" t="str">
        <f t="shared" si="41"/>
        <v/>
      </c>
      <c r="AD243" t="s">
        <v>750</v>
      </c>
      <c r="AE243" t="s">
        <v>751</v>
      </c>
      <c r="AF243" t="str">
        <f t="shared" si="42"/>
        <v>A679074</v>
      </c>
      <c r="AG243" t="str">
        <f>VLOOKUP(AF243,AKT!$C$4:$E$324,3,FALSE)</f>
        <v>0942</v>
      </c>
    </row>
    <row r="244" spans="1:33">
      <c r="A244" s="90"/>
      <c r="B244" s="85" t="str">
        <f t="shared" si="35"/>
        <v/>
      </c>
      <c r="C244" s="90"/>
      <c r="D244" s="85" t="str">
        <f t="shared" si="36"/>
        <v/>
      </c>
      <c r="E244" s="123"/>
      <c r="F244" s="85" t="str">
        <f t="shared" si="37"/>
        <v/>
      </c>
      <c r="G244" s="85" t="str">
        <f t="shared" si="38"/>
        <v/>
      </c>
      <c r="H244" s="122"/>
      <c r="I244" s="122"/>
      <c r="J244" s="122"/>
      <c r="K244" s="135"/>
      <c r="L244" s="134"/>
      <c r="M244" s="134"/>
      <c r="N244" s="135"/>
      <c r="O244" s="266"/>
      <c r="P244" s="89"/>
      <c r="R244" t="str">
        <f t="shared" si="39"/>
        <v/>
      </c>
      <c r="S244" t="str">
        <f t="shared" si="40"/>
        <v/>
      </c>
      <c r="T244" t="str">
        <f t="shared" si="41"/>
        <v/>
      </c>
      <c r="AD244" t="s">
        <v>1340</v>
      </c>
      <c r="AE244" t="s">
        <v>1341</v>
      </c>
      <c r="AF244" t="str">
        <f t="shared" si="42"/>
        <v>A679074</v>
      </c>
      <c r="AG244" t="str">
        <f>VLOOKUP(AF244,AKT!$C$4:$E$324,3,FALSE)</f>
        <v>0942</v>
      </c>
    </row>
    <row r="245" spans="1:33">
      <c r="A245" s="90"/>
      <c r="B245" s="85" t="str">
        <f t="shared" si="35"/>
        <v/>
      </c>
      <c r="C245" s="90"/>
      <c r="D245" s="85" t="str">
        <f t="shared" si="36"/>
        <v/>
      </c>
      <c r="E245" s="123"/>
      <c r="F245" s="85" t="str">
        <f t="shared" si="37"/>
        <v/>
      </c>
      <c r="G245" s="85" t="str">
        <f t="shared" si="38"/>
        <v/>
      </c>
      <c r="H245" s="122"/>
      <c r="I245" s="122"/>
      <c r="J245" s="122"/>
      <c r="K245" s="135"/>
      <c r="L245" s="134"/>
      <c r="M245" s="134"/>
      <c r="N245" s="135"/>
      <c r="O245" s="266"/>
      <c r="P245" s="89"/>
      <c r="R245" t="str">
        <f t="shared" si="39"/>
        <v/>
      </c>
      <c r="S245" t="str">
        <f t="shared" si="40"/>
        <v/>
      </c>
      <c r="T245" t="str">
        <f t="shared" si="41"/>
        <v/>
      </c>
      <c r="AD245" t="s">
        <v>1342</v>
      </c>
      <c r="AE245" t="s">
        <v>1343</v>
      </c>
      <c r="AF245" t="str">
        <f t="shared" si="42"/>
        <v>A679074</v>
      </c>
      <c r="AG245" t="str">
        <f>VLOOKUP(AF245,AKT!$C$4:$E$324,3,FALSE)</f>
        <v>0942</v>
      </c>
    </row>
    <row r="246" spans="1:33">
      <c r="A246" s="90"/>
      <c r="B246" s="85" t="str">
        <f t="shared" si="35"/>
        <v/>
      </c>
      <c r="C246" s="90"/>
      <c r="D246" s="85" t="str">
        <f t="shared" si="36"/>
        <v/>
      </c>
      <c r="E246" s="123"/>
      <c r="F246" s="85" t="str">
        <f t="shared" si="37"/>
        <v/>
      </c>
      <c r="G246" s="85" t="str">
        <f t="shared" si="38"/>
        <v/>
      </c>
      <c r="H246" s="122"/>
      <c r="I246" s="122"/>
      <c r="J246" s="122"/>
      <c r="K246" s="135"/>
      <c r="L246" s="134"/>
      <c r="M246" s="134"/>
      <c r="N246" s="135"/>
      <c r="O246" s="266"/>
      <c r="P246" s="89"/>
      <c r="R246" t="str">
        <f t="shared" si="39"/>
        <v/>
      </c>
      <c r="S246" t="str">
        <f t="shared" si="40"/>
        <v/>
      </c>
      <c r="T246" t="str">
        <f t="shared" si="41"/>
        <v/>
      </c>
      <c r="AD246" t="s">
        <v>1344</v>
      </c>
      <c r="AE246" t="s">
        <v>1345</v>
      </c>
      <c r="AF246" t="str">
        <f t="shared" si="42"/>
        <v>A679074</v>
      </c>
      <c r="AG246" t="str">
        <f>VLOOKUP(AF246,AKT!$C$4:$E$324,3,FALSE)</f>
        <v>0942</v>
      </c>
    </row>
    <row r="247" spans="1:33">
      <c r="A247" s="90"/>
      <c r="B247" s="85" t="str">
        <f t="shared" si="35"/>
        <v/>
      </c>
      <c r="C247" s="90"/>
      <c r="D247" s="85" t="str">
        <f t="shared" si="36"/>
        <v/>
      </c>
      <c r="E247" s="123"/>
      <c r="F247" s="85" t="str">
        <f t="shared" si="37"/>
        <v/>
      </c>
      <c r="G247" s="85" t="str">
        <f t="shared" si="38"/>
        <v/>
      </c>
      <c r="H247" s="122"/>
      <c r="I247" s="122"/>
      <c r="J247" s="122"/>
      <c r="K247" s="135"/>
      <c r="L247" s="134"/>
      <c r="M247" s="134"/>
      <c r="N247" s="135"/>
      <c r="O247" s="266"/>
      <c r="P247" s="89"/>
      <c r="R247" t="str">
        <f t="shared" si="39"/>
        <v/>
      </c>
      <c r="S247" t="str">
        <f t="shared" si="40"/>
        <v/>
      </c>
      <c r="T247" t="str">
        <f t="shared" si="41"/>
        <v/>
      </c>
      <c r="AD247" t="s">
        <v>1346</v>
      </c>
      <c r="AE247" t="s">
        <v>1347</v>
      </c>
      <c r="AF247" t="str">
        <f t="shared" si="42"/>
        <v>A679074</v>
      </c>
      <c r="AG247" t="str">
        <f>VLOOKUP(AF247,AKT!$C$4:$E$324,3,FALSE)</f>
        <v>0942</v>
      </c>
    </row>
    <row r="248" spans="1:33">
      <c r="A248" s="90"/>
      <c r="B248" s="85" t="str">
        <f t="shared" si="35"/>
        <v/>
      </c>
      <c r="C248" s="90"/>
      <c r="D248" s="85" t="str">
        <f t="shared" si="36"/>
        <v/>
      </c>
      <c r="E248" s="123"/>
      <c r="F248" s="85" t="str">
        <f t="shared" si="37"/>
        <v/>
      </c>
      <c r="G248" s="85" t="str">
        <f t="shared" si="38"/>
        <v/>
      </c>
      <c r="H248" s="122"/>
      <c r="I248" s="122"/>
      <c r="J248" s="122"/>
      <c r="K248" s="135"/>
      <c r="L248" s="134"/>
      <c r="M248" s="134"/>
      <c r="N248" s="135"/>
      <c r="O248" s="266"/>
      <c r="P248" s="89"/>
      <c r="R248" t="str">
        <f t="shared" si="39"/>
        <v/>
      </c>
      <c r="S248" t="str">
        <f t="shared" si="40"/>
        <v/>
      </c>
      <c r="T248" t="str">
        <f t="shared" si="41"/>
        <v/>
      </c>
      <c r="AD248" t="s">
        <v>1348</v>
      </c>
      <c r="AE248" t="s">
        <v>1349</v>
      </c>
      <c r="AF248" t="str">
        <f t="shared" si="42"/>
        <v>A679074</v>
      </c>
      <c r="AG248" t="str">
        <f>VLOOKUP(AF248,AKT!$C$4:$E$324,3,FALSE)</f>
        <v>0942</v>
      </c>
    </row>
    <row r="249" spans="1:33">
      <c r="A249" s="90"/>
      <c r="B249" s="85" t="str">
        <f t="shared" si="35"/>
        <v/>
      </c>
      <c r="C249" s="90"/>
      <c r="D249" s="85" t="str">
        <f t="shared" si="36"/>
        <v/>
      </c>
      <c r="E249" s="123"/>
      <c r="F249" s="85" t="str">
        <f t="shared" si="37"/>
        <v/>
      </c>
      <c r="G249" s="85" t="str">
        <f t="shared" si="38"/>
        <v/>
      </c>
      <c r="H249" s="122"/>
      <c r="I249" s="122"/>
      <c r="J249" s="122"/>
      <c r="K249" s="135"/>
      <c r="L249" s="134"/>
      <c r="M249" s="134"/>
      <c r="N249" s="135"/>
      <c r="O249" s="266"/>
      <c r="P249" s="89"/>
      <c r="R249" t="str">
        <f t="shared" si="39"/>
        <v/>
      </c>
      <c r="S249" t="str">
        <f t="shared" si="40"/>
        <v/>
      </c>
      <c r="T249" t="str">
        <f t="shared" si="41"/>
        <v/>
      </c>
      <c r="AD249" t="s">
        <v>2206</v>
      </c>
      <c r="AE249" t="s">
        <v>2207</v>
      </c>
      <c r="AF249" t="str">
        <f t="shared" si="42"/>
        <v>A679074</v>
      </c>
      <c r="AG249" t="str">
        <f>VLOOKUP(AF249,AKT!$C$4:$E$324,3,FALSE)</f>
        <v>0942</v>
      </c>
    </row>
    <row r="250" spans="1:33">
      <c r="A250" s="90"/>
      <c r="B250" s="85" t="str">
        <f t="shared" si="35"/>
        <v/>
      </c>
      <c r="C250" s="90"/>
      <c r="D250" s="85" t="str">
        <f t="shared" si="36"/>
        <v/>
      </c>
      <c r="E250" s="123"/>
      <c r="F250" s="85" t="str">
        <f t="shared" si="37"/>
        <v/>
      </c>
      <c r="G250" s="85" t="str">
        <f t="shared" si="38"/>
        <v/>
      </c>
      <c r="H250" s="122"/>
      <c r="I250" s="122"/>
      <c r="J250" s="122"/>
      <c r="K250" s="135"/>
      <c r="L250" s="134"/>
      <c r="M250" s="134"/>
      <c r="N250" s="135"/>
      <c r="O250" s="266"/>
      <c r="P250" s="89"/>
      <c r="R250" t="str">
        <f t="shared" si="39"/>
        <v/>
      </c>
      <c r="S250" t="str">
        <f t="shared" si="40"/>
        <v/>
      </c>
      <c r="T250" t="str">
        <f t="shared" si="41"/>
        <v/>
      </c>
      <c r="AD250" t="s">
        <v>2208</v>
      </c>
      <c r="AE250" t="s">
        <v>2209</v>
      </c>
      <c r="AF250" t="str">
        <f t="shared" si="42"/>
        <v>A679074</v>
      </c>
      <c r="AG250" t="str">
        <f>VLOOKUP(AF250,AKT!$C$4:$E$324,3,FALSE)</f>
        <v>0942</v>
      </c>
    </row>
    <row r="251" spans="1:33">
      <c r="A251" s="90"/>
      <c r="B251" s="85" t="str">
        <f t="shared" si="35"/>
        <v/>
      </c>
      <c r="C251" s="90"/>
      <c r="D251" s="85" t="str">
        <f t="shared" si="36"/>
        <v/>
      </c>
      <c r="E251" s="123"/>
      <c r="F251" s="85" t="str">
        <f t="shared" si="37"/>
        <v/>
      </c>
      <c r="G251" s="85" t="str">
        <f t="shared" si="38"/>
        <v/>
      </c>
      <c r="H251" s="122"/>
      <c r="I251" s="122"/>
      <c r="J251" s="122"/>
      <c r="K251" s="135"/>
      <c r="L251" s="134"/>
      <c r="M251" s="134"/>
      <c r="N251" s="135"/>
      <c r="O251" s="266"/>
      <c r="P251" s="89"/>
      <c r="R251" t="str">
        <f t="shared" si="39"/>
        <v/>
      </c>
      <c r="S251" t="str">
        <f t="shared" si="40"/>
        <v/>
      </c>
      <c r="T251" t="str">
        <f t="shared" si="41"/>
        <v/>
      </c>
      <c r="AD251" t="s">
        <v>2210</v>
      </c>
      <c r="AE251" t="s">
        <v>2211</v>
      </c>
      <c r="AF251" t="str">
        <f t="shared" si="42"/>
        <v>A679074</v>
      </c>
      <c r="AG251" t="str">
        <f>VLOOKUP(AF251,AKT!$C$4:$E$324,3,FALSE)</f>
        <v>0942</v>
      </c>
    </row>
    <row r="252" spans="1:33">
      <c r="A252" s="90"/>
      <c r="B252" s="85" t="str">
        <f t="shared" si="35"/>
        <v/>
      </c>
      <c r="C252" s="90"/>
      <c r="D252" s="85" t="str">
        <f t="shared" si="36"/>
        <v/>
      </c>
      <c r="E252" s="123"/>
      <c r="F252" s="85" t="str">
        <f t="shared" si="37"/>
        <v/>
      </c>
      <c r="G252" s="85" t="str">
        <f t="shared" si="38"/>
        <v/>
      </c>
      <c r="H252" s="122"/>
      <c r="I252" s="122"/>
      <c r="J252" s="122"/>
      <c r="K252" s="135"/>
      <c r="L252" s="134"/>
      <c r="M252" s="134"/>
      <c r="N252" s="135"/>
      <c r="O252" s="266"/>
      <c r="P252" s="89"/>
      <c r="R252" t="str">
        <f t="shared" si="39"/>
        <v/>
      </c>
      <c r="S252" t="str">
        <f t="shared" si="40"/>
        <v/>
      </c>
      <c r="T252" t="str">
        <f t="shared" si="41"/>
        <v/>
      </c>
      <c r="AD252" t="s">
        <v>2212</v>
      </c>
      <c r="AE252" t="s">
        <v>2213</v>
      </c>
      <c r="AF252" t="str">
        <f t="shared" si="42"/>
        <v>A679074</v>
      </c>
      <c r="AG252" t="str">
        <f>VLOOKUP(AF252,AKT!$C$4:$E$324,3,FALSE)</f>
        <v>0942</v>
      </c>
    </row>
    <row r="253" spans="1:33">
      <c r="A253" s="90"/>
      <c r="B253" s="85" t="str">
        <f t="shared" si="35"/>
        <v/>
      </c>
      <c r="C253" s="90"/>
      <c r="D253" s="85" t="str">
        <f t="shared" si="36"/>
        <v/>
      </c>
      <c r="E253" s="123"/>
      <c r="F253" s="85" t="str">
        <f t="shared" si="37"/>
        <v/>
      </c>
      <c r="G253" s="85" t="str">
        <f t="shared" si="38"/>
        <v/>
      </c>
      <c r="H253" s="122"/>
      <c r="I253" s="122"/>
      <c r="J253" s="122"/>
      <c r="K253" s="135"/>
      <c r="L253" s="134"/>
      <c r="M253" s="134"/>
      <c r="N253" s="135"/>
      <c r="O253" s="266"/>
      <c r="P253" s="89"/>
      <c r="R253" t="str">
        <f t="shared" si="39"/>
        <v/>
      </c>
      <c r="S253" t="str">
        <f t="shared" si="40"/>
        <v/>
      </c>
      <c r="T253" t="str">
        <f t="shared" si="41"/>
        <v/>
      </c>
      <c r="AD253" t="s">
        <v>2214</v>
      </c>
      <c r="AE253" t="s">
        <v>2215</v>
      </c>
      <c r="AF253" t="str">
        <f t="shared" si="42"/>
        <v>A679074</v>
      </c>
      <c r="AG253" t="str">
        <f>VLOOKUP(AF253,AKT!$C$4:$E$324,3,FALSE)</f>
        <v>0942</v>
      </c>
    </row>
    <row r="254" spans="1:33">
      <c r="A254" s="90"/>
      <c r="B254" s="85" t="str">
        <f t="shared" si="35"/>
        <v/>
      </c>
      <c r="C254" s="90"/>
      <c r="D254" s="85" t="str">
        <f t="shared" si="36"/>
        <v/>
      </c>
      <c r="E254" s="123"/>
      <c r="F254" s="85" t="str">
        <f t="shared" si="37"/>
        <v/>
      </c>
      <c r="G254" s="85" t="str">
        <f t="shared" si="38"/>
        <v/>
      </c>
      <c r="H254" s="122"/>
      <c r="I254" s="122"/>
      <c r="J254" s="122"/>
      <c r="K254" s="135"/>
      <c r="L254" s="134"/>
      <c r="M254" s="134"/>
      <c r="N254" s="135"/>
      <c r="O254" s="266"/>
      <c r="P254" s="89"/>
      <c r="R254" t="str">
        <f t="shared" si="39"/>
        <v/>
      </c>
      <c r="S254" t="str">
        <f t="shared" si="40"/>
        <v/>
      </c>
      <c r="T254" t="str">
        <f t="shared" si="41"/>
        <v/>
      </c>
      <c r="AD254" t="s">
        <v>2216</v>
      </c>
      <c r="AE254" t="s">
        <v>2217</v>
      </c>
      <c r="AF254" t="str">
        <f t="shared" si="42"/>
        <v>A679074</v>
      </c>
      <c r="AG254" t="str">
        <f>VLOOKUP(AF254,AKT!$C$4:$E$324,3,FALSE)</f>
        <v>0942</v>
      </c>
    </row>
    <row r="255" spans="1:33">
      <c r="A255" s="90"/>
      <c r="B255" s="85" t="str">
        <f t="shared" si="35"/>
        <v/>
      </c>
      <c r="C255" s="90"/>
      <c r="D255" s="85" t="str">
        <f t="shared" si="36"/>
        <v/>
      </c>
      <c r="E255" s="123"/>
      <c r="F255" s="85" t="str">
        <f t="shared" si="37"/>
        <v/>
      </c>
      <c r="G255" s="85" t="str">
        <f t="shared" si="38"/>
        <v/>
      </c>
      <c r="H255" s="122"/>
      <c r="I255" s="122"/>
      <c r="J255" s="122"/>
      <c r="K255" s="135"/>
      <c r="L255" s="134"/>
      <c r="M255" s="134"/>
      <c r="N255" s="135"/>
      <c r="O255" s="266"/>
      <c r="P255" s="89"/>
      <c r="R255" t="str">
        <f t="shared" si="39"/>
        <v/>
      </c>
      <c r="S255" t="str">
        <f t="shared" si="40"/>
        <v/>
      </c>
      <c r="T255" t="str">
        <f t="shared" si="41"/>
        <v/>
      </c>
      <c r="AD255" t="s">
        <v>2218</v>
      </c>
      <c r="AE255" t="s">
        <v>2219</v>
      </c>
      <c r="AF255" t="str">
        <f t="shared" si="42"/>
        <v>A679074</v>
      </c>
      <c r="AG255" t="str">
        <f>VLOOKUP(AF255,AKT!$C$4:$E$324,3,FALSE)</f>
        <v>0942</v>
      </c>
    </row>
    <row r="256" spans="1:33">
      <c r="A256" s="90"/>
      <c r="B256" s="85" t="str">
        <f t="shared" si="35"/>
        <v/>
      </c>
      <c r="C256" s="90"/>
      <c r="D256" s="85" t="str">
        <f t="shared" si="36"/>
        <v/>
      </c>
      <c r="E256" s="123"/>
      <c r="F256" s="85" t="str">
        <f t="shared" si="37"/>
        <v/>
      </c>
      <c r="G256" s="85" t="str">
        <f t="shared" si="38"/>
        <v/>
      </c>
      <c r="H256" s="122"/>
      <c r="I256" s="122"/>
      <c r="J256" s="122"/>
      <c r="K256" s="135"/>
      <c r="L256" s="134"/>
      <c r="M256" s="134"/>
      <c r="N256" s="135"/>
      <c r="O256" s="266"/>
      <c r="P256" s="89"/>
      <c r="R256" t="str">
        <f t="shared" si="39"/>
        <v/>
      </c>
      <c r="S256" t="str">
        <f t="shared" si="40"/>
        <v/>
      </c>
      <c r="T256" t="str">
        <f t="shared" si="41"/>
        <v/>
      </c>
      <c r="AD256" t="s">
        <v>2220</v>
      </c>
      <c r="AE256" t="s">
        <v>2221</v>
      </c>
      <c r="AF256" t="str">
        <f t="shared" si="42"/>
        <v>A679074</v>
      </c>
      <c r="AG256" t="str">
        <f>VLOOKUP(AF256,AKT!$C$4:$E$324,3,FALSE)</f>
        <v>0942</v>
      </c>
    </row>
    <row r="257" spans="1:33">
      <c r="A257" s="90"/>
      <c r="B257" s="85" t="str">
        <f t="shared" si="35"/>
        <v/>
      </c>
      <c r="C257" s="90"/>
      <c r="D257" s="85" t="str">
        <f t="shared" si="36"/>
        <v/>
      </c>
      <c r="E257" s="123"/>
      <c r="F257" s="85" t="str">
        <f t="shared" si="37"/>
        <v/>
      </c>
      <c r="G257" s="85" t="str">
        <f t="shared" si="38"/>
        <v/>
      </c>
      <c r="H257" s="122"/>
      <c r="I257" s="122"/>
      <c r="J257" s="122"/>
      <c r="K257" s="135"/>
      <c r="L257" s="134"/>
      <c r="M257" s="134"/>
      <c r="N257" s="135"/>
      <c r="O257" s="266"/>
      <c r="P257" s="89"/>
      <c r="R257" t="str">
        <f t="shared" si="39"/>
        <v/>
      </c>
      <c r="S257" t="str">
        <f t="shared" si="40"/>
        <v/>
      </c>
      <c r="T257" t="str">
        <f t="shared" si="41"/>
        <v/>
      </c>
      <c r="AD257" t="s">
        <v>3111</v>
      </c>
      <c r="AE257" t="s">
        <v>3112</v>
      </c>
      <c r="AF257" t="str">
        <f t="shared" si="42"/>
        <v>A679075</v>
      </c>
      <c r="AG257" t="str">
        <f>VLOOKUP(AF257,AKT!$C$4:$E$324,3,FALSE)</f>
        <v>0942</v>
      </c>
    </row>
    <row r="258" spans="1:33">
      <c r="A258" s="90"/>
      <c r="B258" s="85" t="str">
        <f t="shared" si="35"/>
        <v/>
      </c>
      <c r="C258" s="90"/>
      <c r="D258" s="85" t="str">
        <f t="shared" si="36"/>
        <v/>
      </c>
      <c r="E258" s="123"/>
      <c r="F258" s="85" t="str">
        <f t="shared" si="37"/>
        <v/>
      </c>
      <c r="G258" s="85" t="str">
        <f t="shared" si="38"/>
        <v/>
      </c>
      <c r="H258" s="122"/>
      <c r="I258" s="122"/>
      <c r="J258" s="122"/>
      <c r="K258" s="135"/>
      <c r="L258" s="134"/>
      <c r="M258" s="134"/>
      <c r="N258" s="135"/>
      <c r="O258" s="266"/>
      <c r="P258" s="89"/>
      <c r="R258" t="str">
        <f t="shared" si="39"/>
        <v/>
      </c>
      <c r="S258" t="str">
        <f t="shared" si="40"/>
        <v/>
      </c>
      <c r="T258" t="str">
        <f t="shared" si="41"/>
        <v/>
      </c>
      <c r="AD258" t="s">
        <v>3113</v>
      </c>
      <c r="AE258" t="s">
        <v>3114</v>
      </c>
      <c r="AF258" t="str">
        <f t="shared" si="42"/>
        <v>A679075</v>
      </c>
      <c r="AG258" t="str">
        <f>VLOOKUP(AF258,AKT!$C$4:$E$324,3,FALSE)</f>
        <v>0942</v>
      </c>
    </row>
    <row r="259" spans="1:33">
      <c r="A259" s="90"/>
      <c r="B259" s="85" t="str">
        <f t="shared" si="35"/>
        <v/>
      </c>
      <c r="C259" s="90"/>
      <c r="D259" s="85" t="str">
        <f t="shared" si="36"/>
        <v/>
      </c>
      <c r="E259" s="123"/>
      <c r="F259" s="85" t="str">
        <f t="shared" si="37"/>
        <v/>
      </c>
      <c r="G259" s="85" t="str">
        <f t="shared" si="38"/>
        <v/>
      </c>
      <c r="H259" s="122"/>
      <c r="I259" s="122"/>
      <c r="J259" s="122"/>
      <c r="K259" s="135"/>
      <c r="L259" s="134"/>
      <c r="M259" s="134"/>
      <c r="N259" s="135"/>
      <c r="O259" s="266"/>
      <c r="P259" s="89"/>
      <c r="R259" t="str">
        <f t="shared" si="39"/>
        <v/>
      </c>
      <c r="S259" t="str">
        <f t="shared" si="40"/>
        <v/>
      </c>
      <c r="T259" t="str">
        <f t="shared" si="41"/>
        <v/>
      </c>
      <c r="AD259" t="s">
        <v>3115</v>
      </c>
      <c r="AE259" t="s">
        <v>3116</v>
      </c>
      <c r="AF259" t="str">
        <f t="shared" si="42"/>
        <v>A679075</v>
      </c>
      <c r="AG259" t="str">
        <f>VLOOKUP(AF259,AKT!$C$4:$E$324,3,FALSE)</f>
        <v>0942</v>
      </c>
    </row>
    <row r="260" spans="1:33">
      <c r="A260" s="90"/>
      <c r="B260" s="85" t="str">
        <f t="shared" ref="B260:B323" si="43">IFERROR(VLOOKUP(A260,$U$6:$V$23,2,FALSE),"")</f>
        <v/>
      </c>
      <c r="C260" s="90"/>
      <c r="D260" s="85" t="str">
        <f t="shared" ref="D260:D323" si="44">IFERROR(VLOOKUP(C260,$X$5:$Z$129,2,FALSE),"")</f>
        <v/>
      </c>
      <c r="E260" s="123"/>
      <c r="F260" s="85" t="str">
        <f t="shared" ref="F260:F323" si="45">IFERROR(VLOOKUP(E260,$AD$6:$AE$1090,2,FALSE),"")</f>
        <v/>
      </c>
      <c r="G260" s="85" t="str">
        <f t="shared" ref="G260:G323" si="46">IFERROR(VLOOKUP(E260,$AD$6:$AG$1090,4,FALSE),"")</f>
        <v/>
      </c>
      <c r="H260" s="122"/>
      <c r="I260" s="122"/>
      <c r="J260" s="122"/>
      <c r="K260" s="135"/>
      <c r="L260" s="134"/>
      <c r="M260" s="134"/>
      <c r="N260" s="135"/>
      <c r="O260" s="266"/>
      <c r="P260" s="89"/>
      <c r="R260" t="str">
        <f t="shared" ref="R260:R323" si="47">LEFT(C260,3)</f>
        <v/>
      </c>
      <c r="S260" t="str">
        <f t="shared" ref="S260:S323" si="48">LEFT(C260,2)</f>
        <v/>
      </c>
      <c r="T260" t="str">
        <f t="shared" ref="T260:T323" si="49">MID(G260,2,2)</f>
        <v/>
      </c>
      <c r="AD260" t="s">
        <v>3117</v>
      </c>
      <c r="AE260" t="s">
        <v>3118</v>
      </c>
      <c r="AF260" t="str">
        <f t="shared" si="42"/>
        <v>A679075</v>
      </c>
      <c r="AG260" t="str">
        <f>VLOOKUP(AF260,AKT!$C$4:$E$324,3,FALSE)</f>
        <v>0942</v>
      </c>
    </row>
    <row r="261" spans="1:33">
      <c r="A261" s="90"/>
      <c r="B261" s="85" t="str">
        <f t="shared" si="43"/>
        <v/>
      </c>
      <c r="C261" s="90"/>
      <c r="D261" s="85" t="str">
        <f t="shared" si="44"/>
        <v/>
      </c>
      <c r="E261" s="123"/>
      <c r="F261" s="85" t="str">
        <f t="shared" si="45"/>
        <v/>
      </c>
      <c r="G261" s="85" t="str">
        <f t="shared" si="46"/>
        <v/>
      </c>
      <c r="H261" s="122"/>
      <c r="I261" s="122"/>
      <c r="J261" s="122"/>
      <c r="K261" s="135"/>
      <c r="L261" s="134"/>
      <c r="M261" s="134"/>
      <c r="N261" s="135"/>
      <c r="O261" s="266"/>
      <c r="P261" s="89"/>
      <c r="R261" t="str">
        <f t="shared" si="47"/>
        <v/>
      </c>
      <c r="S261" t="str">
        <f t="shared" si="48"/>
        <v/>
      </c>
      <c r="T261" t="str">
        <f t="shared" si="49"/>
        <v/>
      </c>
      <c r="AD261" t="s">
        <v>3119</v>
      </c>
      <c r="AE261" t="s">
        <v>3120</v>
      </c>
      <c r="AF261" t="str">
        <f t="shared" si="42"/>
        <v>A679075</v>
      </c>
      <c r="AG261" t="str">
        <f>VLOOKUP(AF261,AKT!$C$4:$E$324,3,FALSE)</f>
        <v>0942</v>
      </c>
    </row>
    <row r="262" spans="1:33">
      <c r="A262" s="90"/>
      <c r="B262" s="85" t="str">
        <f t="shared" si="43"/>
        <v/>
      </c>
      <c r="C262" s="90"/>
      <c r="D262" s="85" t="str">
        <f t="shared" si="44"/>
        <v/>
      </c>
      <c r="E262" s="123"/>
      <c r="F262" s="85" t="str">
        <f t="shared" si="45"/>
        <v/>
      </c>
      <c r="G262" s="85" t="str">
        <f t="shared" si="46"/>
        <v/>
      </c>
      <c r="H262" s="122"/>
      <c r="I262" s="122"/>
      <c r="J262" s="122"/>
      <c r="K262" s="135"/>
      <c r="L262" s="134"/>
      <c r="M262" s="134"/>
      <c r="N262" s="135"/>
      <c r="O262" s="266"/>
      <c r="P262" s="89"/>
      <c r="R262" t="str">
        <f t="shared" si="47"/>
        <v/>
      </c>
      <c r="S262" t="str">
        <f t="shared" si="48"/>
        <v/>
      </c>
      <c r="T262" t="str">
        <f t="shared" si="49"/>
        <v/>
      </c>
      <c r="AD262" t="s">
        <v>3121</v>
      </c>
      <c r="AE262" t="s">
        <v>3122</v>
      </c>
      <c r="AF262" t="str">
        <f t="shared" si="42"/>
        <v>A679075</v>
      </c>
      <c r="AG262" t="str">
        <f>VLOOKUP(AF262,AKT!$C$4:$E$324,3,FALSE)</f>
        <v>0942</v>
      </c>
    </row>
    <row r="263" spans="1:33">
      <c r="A263" s="90"/>
      <c r="B263" s="85" t="str">
        <f t="shared" si="43"/>
        <v/>
      </c>
      <c r="C263" s="90"/>
      <c r="D263" s="85" t="str">
        <f t="shared" si="44"/>
        <v/>
      </c>
      <c r="E263" s="123"/>
      <c r="F263" s="85" t="str">
        <f t="shared" si="45"/>
        <v/>
      </c>
      <c r="G263" s="85" t="str">
        <f t="shared" si="46"/>
        <v/>
      </c>
      <c r="H263" s="122"/>
      <c r="I263" s="122"/>
      <c r="J263" s="122"/>
      <c r="K263" s="135"/>
      <c r="L263" s="134"/>
      <c r="M263" s="134"/>
      <c r="N263" s="135"/>
      <c r="O263" s="266"/>
      <c r="P263" s="89"/>
      <c r="R263" t="str">
        <f t="shared" si="47"/>
        <v/>
      </c>
      <c r="S263" t="str">
        <f t="shared" si="48"/>
        <v/>
      </c>
      <c r="T263" t="str">
        <f t="shared" si="49"/>
        <v/>
      </c>
      <c r="AD263" t="s">
        <v>752</v>
      </c>
      <c r="AE263" t="s">
        <v>753</v>
      </c>
      <c r="AF263" t="str">
        <f t="shared" si="42"/>
        <v>A679075</v>
      </c>
      <c r="AG263" t="str">
        <f>VLOOKUP(AF263,AKT!$C$4:$E$324,3,FALSE)</f>
        <v>0942</v>
      </c>
    </row>
    <row r="264" spans="1:33">
      <c r="A264" s="90"/>
      <c r="B264" s="85" t="str">
        <f t="shared" si="43"/>
        <v/>
      </c>
      <c r="C264" s="90"/>
      <c r="D264" s="85" t="str">
        <f t="shared" si="44"/>
        <v/>
      </c>
      <c r="E264" s="123"/>
      <c r="F264" s="85" t="str">
        <f t="shared" si="45"/>
        <v/>
      </c>
      <c r="G264" s="85" t="str">
        <f t="shared" si="46"/>
        <v/>
      </c>
      <c r="H264" s="122"/>
      <c r="I264" s="122"/>
      <c r="J264" s="122"/>
      <c r="K264" s="135"/>
      <c r="L264" s="134"/>
      <c r="M264" s="134"/>
      <c r="N264" s="135"/>
      <c r="O264" s="266"/>
      <c r="P264" s="89"/>
      <c r="R264" t="str">
        <f t="shared" si="47"/>
        <v/>
      </c>
      <c r="S264" t="str">
        <f t="shared" si="48"/>
        <v/>
      </c>
      <c r="T264" t="str">
        <f t="shared" si="49"/>
        <v/>
      </c>
      <c r="AD264" t="s">
        <v>754</v>
      </c>
      <c r="AE264" t="s">
        <v>755</v>
      </c>
      <c r="AF264" t="str">
        <f t="shared" ref="AF264:AF327" si="50">LEFT(AD264,7)</f>
        <v>A679075</v>
      </c>
      <c r="AG264" t="str">
        <f>VLOOKUP(AF264,AKT!$C$4:$E$324,3,FALSE)</f>
        <v>0942</v>
      </c>
    </row>
    <row r="265" spans="1:33">
      <c r="A265" s="90"/>
      <c r="B265" s="85" t="str">
        <f t="shared" si="43"/>
        <v/>
      </c>
      <c r="C265" s="90"/>
      <c r="D265" s="85" t="str">
        <f t="shared" si="44"/>
        <v/>
      </c>
      <c r="E265" s="123"/>
      <c r="F265" s="85" t="str">
        <f t="shared" si="45"/>
        <v/>
      </c>
      <c r="G265" s="85" t="str">
        <f t="shared" si="46"/>
        <v/>
      </c>
      <c r="H265" s="122"/>
      <c r="I265" s="122"/>
      <c r="J265" s="122"/>
      <c r="K265" s="135"/>
      <c r="L265" s="134"/>
      <c r="M265" s="134"/>
      <c r="N265" s="135"/>
      <c r="O265" s="266"/>
      <c r="P265" s="89"/>
      <c r="R265" t="str">
        <f t="shared" si="47"/>
        <v/>
      </c>
      <c r="S265" t="str">
        <f t="shared" si="48"/>
        <v/>
      </c>
      <c r="T265" t="str">
        <f t="shared" si="49"/>
        <v/>
      </c>
      <c r="AD265" t="s">
        <v>1350</v>
      </c>
      <c r="AE265" t="s">
        <v>1351</v>
      </c>
      <c r="AF265" t="str">
        <f t="shared" si="50"/>
        <v>A679075</v>
      </c>
      <c r="AG265" t="str">
        <f>VLOOKUP(AF265,AKT!$C$4:$E$324,3,FALSE)</f>
        <v>0942</v>
      </c>
    </row>
    <row r="266" spans="1:33">
      <c r="A266" s="90"/>
      <c r="B266" s="85" t="str">
        <f t="shared" si="43"/>
        <v/>
      </c>
      <c r="C266" s="90"/>
      <c r="D266" s="85" t="str">
        <f t="shared" si="44"/>
        <v/>
      </c>
      <c r="E266" s="123"/>
      <c r="F266" s="85" t="str">
        <f t="shared" si="45"/>
        <v/>
      </c>
      <c r="G266" s="85" t="str">
        <f t="shared" si="46"/>
        <v/>
      </c>
      <c r="H266" s="122"/>
      <c r="I266" s="122"/>
      <c r="J266" s="122"/>
      <c r="K266" s="135"/>
      <c r="L266" s="134"/>
      <c r="M266" s="134"/>
      <c r="N266" s="135"/>
      <c r="O266" s="266"/>
      <c r="P266" s="89"/>
      <c r="R266" t="str">
        <f t="shared" si="47"/>
        <v/>
      </c>
      <c r="S266" t="str">
        <f t="shared" si="48"/>
        <v/>
      </c>
      <c r="T266" t="str">
        <f t="shared" si="49"/>
        <v/>
      </c>
      <c r="AD266" t="s">
        <v>1352</v>
      </c>
      <c r="AE266" t="s">
        <v>1353</v>
      </c>
      <c r="AF266" t="str">
        <f t="shared" si="50"/>
        <v>A679075</v>
      </c>
      <c r="AG266" t="str">
        <f>VLOOKUP(AF266,AKT!$C$4:$E$324,3,FALSE)</f>
        <v>0942</v>
      </c>
    </row>
    <row r="267" spans="1:33">
      <c r="A267" s="90"/>
      <c r="B267" s="85" t="str">
        <f t="shared" si="43"/>
        <v/>
      </c>
      <c r="C267" s="90"/>
      <c r="D267" s="85" t="str">
        <f t="shared" si="44"/>
        <v/>
      </c>
      <c r="E267" s="123"/>
      <c r="F267" s="85" t="str">
        <f t="shared" si="45"/>
        <v/>
      </c>
      <c r="G267" s="85" t="str">
        <f t="shared" si="46"/>
        <v/>
      </c>
      <c r="H267" s="122"/>
      <c r="I267" s="122"/>
      <c r="J267" s="122"/>
      <c r="K267" s="135"/>
      <c r="L267" s="134"/>
      <c r="M267" s="134"/>
      <c r="N267" s="135"/>
      <c r="O267" s="266"/>
      <c r="P267" s="89"/>
      <c r="R267" t="str">
        <f t="shared" si="47"/>
        <v/>
      </c>
      <c r="S267" t="str">
        <f t="shared" si="48"/>
        <v/>
      </c>
      <c r="T267" t="str">
        <f t="shared" si="49"/>
        <v/>
      </c>
      <c r="AD267" t="s">
        <v>2222</v>
      </c>
      <c r="AE267" t="s">
        <v>2223</v>
      </c>
      <c r="AF267" t="str">
        <f t="shared" si="50"/>
        <v>A679075</v>
      </c>
      <c r="AG267" t="str">
        <f>VLOOKUP(AF267,AKT!$C$4:$E$324,3,FALSE)</f>
        <v>0942</v>
      </c>
    </row>
    <row r="268" spans="1:33">
      <c r="A268" s="90"/>
      <c r="B268" s="85" t="str">
        <f t="shared" si="43"/>
        <v/>
      </c>
      <c r="C268" s="90"/>
      <c r="D268" s="85" t="str">
        <f t="shared" si="44"/>
        <v/>
      </c>
      <c r="E268" s="123"/>
      <c r="F268" s="85" t="str">
        <f t="shared" si="45"/>
        <v/>
      </c>
      <c r="G268" s="85" t="str">
        <f t="shared" si="46"/>
        <v/>
      </c>
      <c r="H268" s="122"/>
      <c r="I268" s="122"/>
      <c r="J268" s="122"/>
      <c r="K268" s="135"/>
      <c r="L268" s="134"/>
      <c r="M268" s="134"/>
      <c r="N268" s="135"/>
      <c r="O268" s="266"/>
      <c r="P268" s="89"/>
      <c r="R268" t="str">
        <f t="shared" si="47"/>
        <v/>
      </c>
      <c r="S268" t="str">
        <f t="shared" si="48"/>
        <v/>
      </c>
      <c r="T268" t="str">
        <f t="shared" si="49"/>
        <v/>
      </c>
      <c r="AD268" t="s">
        <v>2224</v>
      </c>
      <c r="AE268" t="s">
        <v>2225</v>
      </c>
      <c r="AF268" t="str">
        <f t="shared" si="50"/>
        <v>A679075</v>
      </c>
      <c r="AG268" t="str">
        <f>VLOOKUP(AF268,AKT!$C$4:$E$324,3,FALSE)</f>
        <v>0942</v>
      </c>
    </row>
    <row r="269" spans="1:33">
      <c r="A269" s="90"/>
      <c r="B269" s="85" t="str">
        <f t="shared" si="43"/>
        <v/>
      </c>
      <c r="C269" s="90"/>
      <c r="D269" s="85" t="str">
        <f t="shared" si="44"/>
        <v/>
      </c>
      <c r="E269" s="123"/>
      <c r="F269" s="85" t="str">
        <f t="shared" si="45"/>
        <v/>
      </c>
      <c r="G269" s="85" t="str">
        <f t="shared" si="46"/>
        <v/>
      </c>
      <c r="H269" s="122"/>
      <c r="I269" s="122"/>
      <c r="J269" s="122"/>
      <c r="K269" s="135"/>
      <c r="L269" s="134"/>
      <c r="M269" s="134"/>
      <c r="N269" s="135"/>
      <c r="O269" s="266"/>
      <c r="P269" s="89"/>
      <c r="R269" t="str">
        <f t="shared" si="47"/>
        <v/>
      </c>
      <c r="S269" t="str">
        <f t="shared" si="48"/>
        <v/>
      </c>
      <c r="T269" t="str">
        <f t="shared" si="49"/>
        <v/>
      </c>
      <c r="AD269" t="s">
        <v>2226</v>
      </c>
      <c r="AE269" t="s">
        <v>2227</v>
      </c>
      <c r="AF269" t="str">
        <f t="shared" si="50"/>
        <v>A679075</v>
      </c>
      <c r="AG269" t="str">
        <f>VLOOKUP(AF269,AKT!$C$4:$E$324,3,FALSE)</f>
        <v>0942</v>
      </c>
    </row>
    <row r="270" spans="1:33">
      <c r="A270" s="90"/>
      <c r="B270" s="85" t="str">
        <f t="shared" si="43"/>
        <v/>
      </c>
      <c r="C270" s="90"/>
      <c r="D270" s="85" t="str">
        <f t="shared" si="44"/>
        <v/>
      </c>
      <c r="E270" s="123"/>
      <c r="F270" s="85" t="str">
        <f t="shared" si="45"/>
        <v/>
      </c>
      <c r="G270" s="85" t="str">
        <f t="shared" si="46"/>
        <v/>
      </c>
      <c r="H270" s="122"/>
      <c r="I270" s="122"/>
      <c r="J270" s="122"/>
      <c r="K270" s="135"/>
      <c r="L270" s="134"/>
      <c r="M270" s="134"/>
      <c r="N270" s="135"/>
      <c r="O270" s="266"/>
      <c r="P270" s="89"/>
      <c r="R270" t="str">
        <f t="shared" si="47"/>
        <v/>
      </c>
      <c r="S270" t="str">
        <f t="shared" si="48"/>
        <v/>
      </c>
      <c r="T270" t="str">
        <f t="shared" si="49"/>
        <v/>
      </c>
      <c r="AD270" t="s">
        <v>2228</v>
      </c>
      <c r="AE270" t="s">
        <v>2229</v>
      </c>
      <c r="AF270" t="str">
        <f t="shared" si="50"/>
        <v>A679075</v>
      </c>
      <c r="AG270" t="str">
        <f>VLOOKUP(AF270,AKT!$C$4:$E$324,3,FALSE)</f>
        <v>0942</v>
      </c>
    </row>
    <row r="271" spans="1:33">
      <c r="A271" s="90"/>
      <c r="B271" s="85" t="str">
        <f t="shared" si="43"/>
        <v/>
      </c>
      <c r="C271" s="90"/>
      <c r="D271" s="85" t="str">
        <f t="shared" si="44"/>
        <v/>
      </c>
      <c r="E271" s="123"/>
      <c r="F271" s="85" t="str">
        <f t="shared" si="45"/>
        <v/>
      </c>
      <c r="G271" s="85" t="str">
        <f t="shared" si="46"/>
        <v/>
      </c>
      <c r="H271" s="122"/>
      <c r="I271" s="122"/>
      <c r="J271" s="122"/>
      <c r="K271" s="135"/>
      <c r="L271" s="134"/>
      <c r="M271" s="134"/>
      <c r="N271" s="135"/>
      <c r="O271" s="266"/>
      <c r="P271" s="89"/>
      <c r="R271" t="str">
        <f t="shared" si="47"/>
        <v/>
      </c>
      <c r="S271" t="str">
        <f t="shared" si="48"/>
        <v/>
      </c>
      <c r="T271" t="str">
        <f t="shared" si="49"/>
        <v/>
      </c>
      <c r="AD271" t="s">
        <v>2230</v>
      </c>
      <c r="AE271" t="s">
        <v>2231</v>
      </c>
      <c r="AF271" t="str">
        <f t="shared" si="50"/>
        <v>A679075</v>
      </c>
      <c r="AG271" t="str">
        <f>VLOOKUP(AF271,AKT!$C$4:$E$324,3,FALSE)</f>
        <v>0942</v>
      </c>
    </row>
    <row r="272" spans="1:33">
      <c r="A272" s="90"/>
      <c r="B272" s="85" t="str">
        <f t="shared" si="43"/>
        <v/>
      </c>
      <c r="C272" s="90"/>
      <c r="D272" s="85" t="str">
        <f t="shared" si="44"/>
        <v/>
      </c>
      <c r="E272" s="123"/>
      <c r="F272" s="85" t="str">
        <f t="shared" si="45"/>
        <v/>
      </c>
      <c r="G272" s="85" t="str">
        <f t="shared" si="46"/>
        <v/>
      </c>
      <c r="H272" s="122"/>
      <c r="I272" s="122"/>
      <c r="J272" s="122"/>
      <c r="K272" s="135"/>
      <c r="L272" s="134"/>
      <c r="M272" s="134"/>
      <c r="N272" s="135"/>
      <c r="O272" s="266"/>
      <c r="P272" s="89"/>
      <c r="R272" t="str">
        <f t="shared" si="47"/>
        <v/>
      </c>
      <c r="S272" t="str">
        <f t="shared" si="48"/>
        <v/>
      </c>
      <c r="T272" t="str">
        <f t="shared" si="49"/>
        <v/>
      </c>
      <c r="AD272" t="s">
        <v>3123</v>
      </c>
      <c r="AE272" t="s">
        <v>3124</v>
      </c>
      <c r="AF272" t="str">
        <f t="shared" si="50"/>
        <v>A679075</v>
      </c>
      <c r="AG272" t="str">
        <f>VLOOKUP(AF272,AKT!$C$4:$E$324,3,FALSE)</f>
        <v>0942</v>
      </c>
    </row>
    <row r="273" spans="1:33">
      <c r="A273" s="90"/>
      <c r="B273" s="85" t="str">
        <f t="shared" si="43"/>
        <v/>
      </c>
      <c r="C273" s="90"/>
      <c r="D273" s="85" t="str">
        <f t="shared" si="44"/>
        <v/>
      </c>
      <c r="E273" s="123"/>
      <c r="F273" s="85" t="str">
        <f t="shared" si="45"/>
        <v/>
      </c>
      <c r="G273" s="85" t="str">
        <f t="shared" si="46"/>
        <v/>
      </c>
      <c r="H273" s="122"/>
      <c r="I273" s="122"/>
      <c r="J273" s="122"/>
      <c r="K273" s="135"/>
      <c r="L273" s="134"/>
      <c r="M273" s="134"/>
      <c r="N273" s="135"/>
      <c r="O273" s="266"/>
      <c r="P273" s="89"/>
      <c r="R273" t="str">
        <f t="shared" si="47"/>
        <v/>
      </c>
      <c r="S273" t="str">
        <f t="shared" si="48"/>
        <v/>
      </c>
      <c r="T273" t="str">
        <f t="shared" si="49"/>
        <v/>
      </c>
      <c r="AD273" t="s">
        <v>3125</v>
      </c>
      <c r="AE273" t="s">
        <v>3126</v>
      </c>
      <c r="AF273" t="str">
        <f t="shared" si="50"/>
        <v>A679075</v>
      </c>
      <c r="AG273" t="str">
        <f>VLOOKUP(AF273,AKT!$C$4:$E$324,3,FALSE)</f>
        <v>0942</v>
      </c>
    </row>
    <row r="274" spans="1:33">
      <c r="A274" s="90"/>
      <c r="B274" s="85" t="str">
        <f t="shared" si="43"/>
        <v/>
      </c>
      <c r="C274" s="90"/>
      <c r="D274" s="85" t="str">
        <f t="shared" si="44"/>
        <v/>
      </c>
      <c r="E274" s="123"/>
      <c r="F274" s="85" t="str">
        <f t="shared" si="45"/>
        <v/>
      </c>
      <c r="G274" s="85" t="str">
        <f t="shared" si="46"/>
        <v/>
      </c>
      <c r="H274" s="122"/>
      <c r="I274" s="122"/>
      <c r="J274" s="122"/>
      <c r="K274" s="135"/>
      <c r="L274" s="134"/>
      <c r="M274" s="134"/>
      <c r="N274" s="135"/>
      <c r="O274" s="266"/>
      <c r="P274" s="89"/>
      <c r="R274" t="str">
        <f t="shared" si="47"/>
        <v/>
      </c>
      <c r="S274" t="str">
        <f t="shared" si="48"/>
        <v/>
      </c>
      <c r="T274" t="str">
        <f t="shared" si="49"/>
        <v/>
      </c>
      <c r="AD274" t="s">
        <v>3127</v>
      </c>
      <c r="AE274" t="s">
        <v>3128</v>
      </c>
      <c r="AF274" t="str">
        <f t="shared" si="50"/>
        <v>A679075</v>
      </c>
      <c r="AG274" t="str">
        <f>VLOOKUP(AF274,AKT!$C$4:$E$324,3,FALSE)</f>
        <v>0942</v>
      </c>
    </row>
    <row r="275" spans="1:33">
      <c r="A275" s="90"/>
      <c r="B275" s="85" t="str">
        <f t="shared" si="43"/>
        <v/>
      </c>
      <c r="C275" s="90"/>
      <c r="D275" s="85" t="str">
        <f t="shared" si="44"/>
        <v/>
      </c>
      <c r="E275" s="123"/>
      <c r="F275" s="85" t="str">
        <f t="shared" si="45"/>
        <v/>
      </c>
      <c r="G275" s="85" t="str">
        <f t="shared" si="46"/>
        <v/>
      </c>
      <c r="H275" s="122"/>
      <c r="I275" s="122"/>
      <c r="J275" s="122"/>
      <c r="K275" s="135"/>
      <c r="L275" s="134"/>
      <c r="M275" s="134"/>
      <c r="N275" s="135"/>
      <c r="O275" s="266"/>
      <c r="P275" s="89"/>
      <c r="R275" t="str">
        <f t="shared" si="47"/>
        <v/>
      </c>
      <c r="S275" t="str">
        <f t="shared" si="48"/>
        <v/>
      </c>
      <c r="T275" t="str">
        <f t="shared" si="49"/>
        <v/>
      </c>
      <c r="AD275" t="s">
        <v>3129</v>
      </c>
      <c r="AE275" t="s">
        <v>2231</v>
      </c>
      <c r="AF275" t="str">
        <f t="shared" si="50"/>
        <v>A679075</v>
      </c>
      <c r="AG275" t="str">
        <f>VLOOKUP(AF275,AKT!$C$4:$E$324,3,FALSE)</f>
        <v>0942</v>
      </c>
    </row>
    <row r="276" spans="1:33">
      <c r="A276" s="90"/>
      <c r="B276" s="85" t="str">
        <f t="shared" si="43"/>
        <v/>
      </c>
      <c r="C276" s="90"/>
      <c r="D276" s="85" t="str">
        <f t="shared" si="44"/>
        <v/>
      </c>
      <c r="E276" s="123"/>
      <c r="F276" s="85" t="str">
        <f t="shared" si="45"/>
        <v/>
      </c>
      <c r="G276" s="85" t="str">
        <f t="shared" si="46"/>
        <v/>
      </c>
      <c r="H276" s="122"/>
      <c r="I276" s="122"/>
      <c r="J276" s="122"/>
      <c r="K276" s="135"/>
      <c r="L276" s="134"/>
      <c r="M276" s="134"/>
      <c r="N276" s="135"/>
      <c r="O276" s="266"/>
      <c r="P276" s="89"/>
      <c r="R276" t="str">
        <f t="shared" si="47"/>
        <v/>
      </c>
      <c r="S276" t="str">
        <f t="shared" si="48"/>
        <v/>
      </c>
      <c r="T276" t="str">
        <f t="shared" si="49"/>
        <v/>
      </c>
      <c r="AD276" t="s">
        <v>3130</v>
      </c>
      <c r="AE276" t="s">
        <v>3131</v>
      </c>
      <c r="AF276" t="str">
        <f t="shared" si="50"/>
        <v>A679075</v>
      </c>
      <c r="AG276" t="str">
        <f>VLOOKUP(AF276,AKT!$C$4:$E$324,3,FALSE)</f>
        <v>0942</v>
      </c>
    </row>
    <row r="277" spans="1:33">
      <c r="A277" s="90"/>
      <c r="B277" s="85" t="str">
        <f t="shared" si="43"/>
        <v/>
      </c>
      <c r="C277" s="90"/>
      <c r="D277" s="85" t="str">
        <f t="shared" si="44"/>
        <v/>
      </c>
      <c r="E277" s="123"/>
      <c r="F277" s="85" t="str">
        <f t="shared" si="45"/>
        <v/>
      </c>
      <c r="G277" s="85" t="str">
        <f t="shared" si="46"/>
        <v/>
      </c>
      <c r="H277" s="122"/>
      <c r="I277" s="122"/>
      <c r="J277" s="122"/>
      <c r="K277" s="135"/>
      <c r="L277" s="134"/>
      <c r="M277" s="134"/>
      <c r="N277" s="135"/>
      <c r="O277" s="266"/>
      <c r="P277" s="89"/>
      <c r="R277" t="str">
        <f t="shared" si="47"/>
        <v/>
      </c>
      <c r="S277" t="str">
        <f t="shared" si="48"/>
        <v/>
      </c>
      <c r="T277" t="str">
        <f t="shared" si="49"/>
        <v/>
      </c>
      <c r="AD277" t="s">
        <v>3132</v>
      </c>
      <c r="AE277" t="s">
        <v>3133</v>
      </c>
      <c r="AF277" t="str">
        <f t="shared" si="50"/>
        <v>A679075</v>
      </c>
      <c r="AG277" t="str">
        <f>VLOOKUP(AF277,AKT!$C$4:$E$324,3,FALSE)</f>
        <v>0942</v>
      </c>
    </row>
    <row r="278" spans="1:33">
      <c r="A278" s="90"/>
      <c r="B278" s="85" t="str">
        <f t="shared" si="43"/>
        <v/>
      </c>
      <c r="C278" s="90"/>
      <c r="D278" s="85" t="str">
        <f t="shared" si="44"/>
        <v/>
      </c>
      <c r="E278" s="123"/>
      <c r="F278" s="85" t="str">
        <f t="shared" si="45"/>
        <v/>
      </c>
      <c r="G278" s="85" t="str">
        <f t="shared" si="46"/>
        <v/>
      </c>
      <c r="H278" s="122"/>
      <c r="I278" s="122"/>
      <c r="J278" s="122"/>
      <c r="K278" s="135"/>
      <c r="L278" s="134"/>
      <c r="M278" s="134"/>
      <c r="N278" s="135"/>
      <c r="O278" s="266"/>
      <c r="P278" s="89"/>
      <c r="R278" t="str">
        <f t="shared" si="47"/>
        <v/>
      </c>
      <c r="S278" t="str">
        <f t="shared" si="48"/>
        <v/>
      </c>
      <c r="T278" t="str">
        <f t="shared" si="49"/>
        <v/>
      </c>
      <c r="AD278" t="s">
        <v>3134</v>
      </c>
      <c r="AE278" t="s">
        <v>3135</v>
      </c>
      <c r="AF278" t="str">
        <f t="shared" si="50"/>
        <v>A679075</v>
      </c>
      <c r="AG278" t="str">
        <f>VLOOKUP(AF278,AKT!$C$4:$E$324,3,FALSE)</f>
        <v>0942</v>
      </c>
    </row>
    <row r="279" spans="1:33">
      <c r="A279" s="90"/>
      <c r="B279" s="85" t="str">
        <f t="shared" si="43"/>
        <v/>
      </c>
      <c r="C279" s="90"/>
      <c r="D279" s="85" t="str">
        <f t="shared" si="44"/>
        <v/>
      </c>
      <c r="E279" s="123"/>
      <c r="F279" s="85" t="str">
        <f t="shared" si="45"/>
        <v/>
      </c>
      <c r="G279" s="85" t="str">
        <f t="shared" si="46"/>
        <v/>
      </c>
      <c r="H279" s="122"/>
      <c r="I279" s="122"/>
      <c r="J279" s="122"/>
      <c r="K279" s="135"/>
      <c r="L279" s="134"/>
      <c r="M279" s="134"/>
      <c r="N279" s="135"/>
      <c r="O279" s="266"/>
      <c r="P279" s="89"/>
      <c r="R279" t="str">
        <f t="shared" si="47"/>
        <v/>
      </c>
      <c r="S279" t="str">
        <f t="shared" si="48"/>
        <v/>
      </c>
      <c r="T279" t="str">
        <f t="shared" si="49"/>
        <v/>
      </c>
      <c r="AD279" t="s">
        <v>3136</v>
      </c>
      <c r="AE279" t="s">
        <v>3137</v>
      </c>
      <c r="AF279" t="str">
        <f t="shared" si="50"/>
        <v>A679075</v>
      </c>
      <c r="AG279" t="str">
        <f>VLOOKUP(AF279,AKT!$C$4:$E$324,3,FALSE)</f>
        <v>0942</v>
      </c>
    </row>
    <row r="280" spans="1:33">
      <c r="A280" s="90"/>
      <c r="B280" s="85" t="str">
        <f t="shared" si="43"/>
        <v/>
      </c>
      <c r="C280" s="90"/>
      <c r="D280" s="85" t="str">
        <f t="shared" si="44"/>
        <v/>
      </c>
      <c r="E280" s="123"/>
      <c r="F280" s="85" t="str">
        <f t="shared" si="45"/>
        <v/>
      </c>
      <c r="G280" s="85" t="str">
        <f t="shared" si="46"/>
        <v/>
      </c>
      <c r="H280" s="122"/>
      <c r="I280" s="122"/>
      <c r="J280" s="122"/>
      <c r="K280" s="135"/>
      <c r="L280" s="134"/>
      <c r="M280" s="134"/>
      <c r="N280" s="135"/>
      <c r="O280" s="266"/>
      <c r="P280" s="89"/>
      <c r="R280" t="str">
        <f t="shared" si="47"/>
        <v/>
      </c>
      <c r="S280" t="str">
        <f t="shared" si="48"/>
        <v/>
      </c>
      <c r="T280" t="str">
        <f t="shared" si="49"/>
        <v/>
      </c>
      <c r="AD280" t="s">
        <v>756</v>
      </c>
      <c r="AE280" t="s">
        <v>757</v>
      </c>
      <c r="AF280" t="str">
        <f t="shared" si="50"/>
        <v>A679076</v>
      </c>
      <c r="AG280" t="str">
        <f>VLOOKUP(AF280,AKT!$C$4:$E$324,3,FALSE)</f>
        <v>0942</v>
      </c>
    </row>
    <row r="281" spans="1:33">
      <c r="A281" s="90"/>
      <c r="B281" s="85" t="str">
        <f t="shared" si="43"/>
        <v/>
      </c>
      <c r="C281" s="90"/>
      <c r="D281" s="85" t="str">
        <f t="shared" si="44"/>
        <v/>
      </c>
      <c r="E281" s="123"/>
      <c r="F281" s="85" t="str">
        <f t="shared" si="45"/>
        <v/>
      </c>
      <c r="G281" s="85" t="str">
        <f t="shared" si="46"/>
        <v/>
      </c>
      <c r="H281" s="122"/>
      <c r="I281" s="122"/>
      <c r="J281" s="122"/>
      <c r="K281" s="135"/>
      <c r="L281" s="134"/>
      <c r="M281" s="134"/>
      <c r="N281" s="135"/>
      <c r="O281" s="266"/>
      <c r="P281" s="89"/>
      <c r="R281" t="str">
        <f t="shared" si="47"/>
        <v/>
      </c>
      <c r="S281" t="str">
        <f t="shared" si="48"/>
        <v/>
      </c>
      <c r="T281" t="str">
        <f t="shared" si="49"/>
        <v/>
      </c>
      <c r="AD281" t="s">
        <v>758</v>
      </c>
      <c r="AE281" t="s">
        <v>759</v>
      </c>
      <c r="AF281" t="str">
        <f t="shared" si="50"/>
        <v>A679076</v>
      </c>
      <c r="AG281" t="str">
        <f>VLOOKUP(AF281,AKT!$C$4:$E$324,3,FALSE)</f>
        <v>0942</v>
      </c>
    </row>
    <row r="282" spans="1:33">
      <c r="A282" s="90"/>
      <c r="B282" s="85" t="str">
        <f t="shared" si="43"/>
        <v/>
      </c>
      <c r="C282" s="90"/>
      <c r="D282" s="85" t="str">
        <f t="shared" si="44"/>
        <v/>
      </c>
      <c r="E282" s="123"/>
      <c r="F282" s="85" t="str">
        <f t="shared" si="45"/>
        <v/>
      </c>
      <c r="G282" s="85" t="str">
        <f t="shared" si="46"/>
        <v/>
      </c>
      <c r="H282" s="122"/>
      <c r="I282" s="122"/>
      <c r="J282" s="122"/>
      <c r="K282" s="135"/>
      <c r="L282" s="134"/>
      <c r="M282" s="134"/>
      <c r="N282" s="135"/>
      <c r="O282" s="266"/>
      <c r="P282" s="89"/>
      <c r="R282" t="str">
        <f t="shared" si="47"/>
        <v/>
      </c>
      <c r="S282" t="str">
        <f t="shared" si="48"/>
        <v/>
      </c>
      <c r="T282" t="str">
        <f t="shared" si="49"/>
        <v/>
      </c>
      <c r="AD282" t="s">
        <v>760</v>
      </c>
      <c r="AE282" t="s">
        <v>761</v>
      </c>
      <c r="AF282" t="str">
        <f t="shared" si="50"/>
        <v>A679076</v>
      </c>
      <c r="AG282" t="str">
        <f>VLOOKUP(AF282,AKT!$C$4:$E$324,3,FALSE)</f>
        <v>0942</v>
      </c>
    </row>
    <row r="283" spans="1:33">
      <c r="A283" s="90"/>
      <c r="B283" s="85" t="str">
        <f t="shared" si="43"/>
        <v/>
      </c>
      <c r="C283" s="90"/>
      <c r="D283" s="85" t="str">
        <f t="shared" si="44"/>
        <v/>
      </c>
      <c r="E283" s="123"/>
      <c r="F283" s="85" t="str">
        <f t="shared" si="45"/>
        <v/>
      </c>
      <c r="G283" s="85" t="str">
        <f t="shared" si="46"/>
        <v/>
      </c>
      <c r="H283" s="122"/>
      <c r="I283" s="122"/>
      <c r="J283" s="122"/>
      <c r="K283" s="135"/>
      <c r="L283" s="134"/>
      <c r="M283" s="134"/>
      <c r="N283" s="135"/>
      <c r="O283" s="266"/>
      <c r="P283" s="89"/>
      <c r="R283" t="str">
        <f t="shared" si="47"/>
        <v/>
      </c>
      <c r="S283" t="str">
        <f t="shared" si="48"/>
        <v/>
      </c>
      <c r="T283" t="str">
        <f t="shared" si="49"/>
        <v/>
      </c>
      <c r="AD283" t="s">
        <v>2232</v>
      </c>
      <c r="AE283" t="s">
        <v>2233</v>
      </c>
      <c r="AF283" t="str">
        <f t="shared" si="50"/>
        <v>A679076</v>
      </c>
      <c r="AG283" t="str">
        <f>VLOOKUP(AF283,AKT!$C$4:$E$324,3,FALSE)</f>
        <v>0942</v>
      </c>
    </row>
    <row r="284" spans="1:33">
      <c r="A284" s="90"/>
      <c r="B284" s="85" t="str">
        <f t="shared" si="43"/>
        <v/>
      </c>
      <c r="C284" s="90"/>
      <c r="D284" s="85" t="str">
        <f t="shared" si="44"/>
        <v/>
      </c>
      <c r="E284" s="123"/>
      <c r="F284" s="85" t="str">
        <f t="shared" si="45"/>
        <v/>
      </c>
      <c r="G284" s="85" t="str">
        <f t="shared" si="46"/>
        <v/>
      </c>
      <c r="H284" s="122"/>
      <c r="I284" s="122"/>
      <c r="J284" s="122"/>
      <c r="K284" s="135"/>
      <c r="L284" s="134"/>
      <c r="M284" s="134"/>
      <c r="N284" s="135"/>
      <c r="O284" s="266"/>
      <c r="P284" s="89"/>
      <c r="R284" t="str">
        <f t="shared" si="47"/>
        <v/>
      </c>
      <c r="S284" t="str">
        <f t="shared" si="48"/>
        <v/>
      </c>
      <c r="T284" t="str">
        <f t="shared" si="49"/>
        <v/>
      </c>
      <c r="AD284" t="s">
        <v>2234</v>
      </c>
      <c r="AE284" t="s">
        <v>2235</v>
      </c>
      <c r="AF284" t="str">
        <f t="shared" si="50"/>
        <v>A679076</v>
      </c>
      <c r="AG284" t="str">
        <f>VLOOKUP(AF284,AKT!$C$4:$E$324,3,FALSE)</f>
        <v>0942</v>
      </c>
    </row>
    <row r="285" spans="1:33">
      <c r="A285" s="90"/>
      <c r="B285" s="85" t="str">
        <f t="shared" si="43"/>
        <v/>
      </c>
      <c r="C285" s="90"/>
      <c r="D285" s="85" t="str">
        <f t="shared" si="44"/>
        <v/>
      </c>
      <c r="E285" s="123"/>
      <c r="F285" s="85" t="str">
        <f t="shared" si="45"/>
        <v/>
      </c>
      <c r="G285" s="85" t="str">
        <f t="shared" si="46"/>
        <v/>
      </c>
      <c r="H285" s="122"/>
      <c r="I285" s="122"/>
      <c r="J285" s="122"/>
      <c r="K285" s="135"/>
      <c r="L285" s="134"/>
      <c r="M285" s="134"/>
      <c r="N285" s="135"/>
      <c r="O285" s="266"/>
      <c r="P285" s="89"/>
      <c r="R285" t="str">
        <f t="shared" si="47"/>
        <v/>
      </c>
      <c r="S285" t="str">
        <f t="shared" si="48"/>
        <v/>
      </c>
      <c r="T285" t="str">
        <f t="shared" si="49"/>
        <v/>
      </c>
      <c r="AD285" t="s">
        <v>2236</v>
      </c>
      <c r="AE285" t="s">
        <v>2237</v>
      </c>
      <c r="AF285" t="str">
        <f t="shared" si="50"/>
        <v>A679076</v>
      </c>
      <c r="AG285" t="str">
        <f>VLOOKUP(AF285,AKT!$C$4:$E$324,3,FALSE)</f>
        <v>0942</v>
      </c>
    </row>
    <row r="286" spans="1:33">
      <c r="A286" s="90"/>
      <c r="B286" s="85" t="str">
        <f t="shared" si="43"/>
        <v/>
      </c>
      <c r="C286" s="90"/>
      <c r="D286" s="85" t="str">
        <f t="shared" si="44"/>
        <v/>
      </c>
      <c r="E286" s="123"/>
      <c r="F286" s="85" t="str">
        <f t="shared" si="45"/>
        <v/>
      </c>
      <c r="G286" s="85" t="str">
        <f t="shared" si="46"/>
        <v/>
      </c>
      <c r="H286" s="122"/>
      <c r="I286" s="122"/>
      <c r="J286" s="122"/>
      <c r="K286" s="135"/>
      <c r="L286" s="134"/>
      <c r="M286" s="134"/>
      <c r="N286" s="135"/>
      <c r="O286" s="266"/>
      <c r="P286" s="89"/>
      <c r="R286" t="str">
        <f t="shared" si="47"/>
        <v/>
      </c>
      <c r="S286" t="str">
        <f t="shared" si="48"/>
        <v/>
      </c>
      <c r="T286" t="str">
        <f t="shared" si="49"/>
        <v/>
      </c>
      <c r="AD286" t="s">
        <v>2238</v>
      </c>
      <c r="AE286" t="s">
        <v>2239</v>
      </c>
      <c r="AF286" t="str">
        <f t="shared" si="50"/>
        <v>A679076</v>
      </c>
      <c r="AG286" t="str">
        <f>VLOOKUP(AF286,AKT!$C$4:$E$324,3,FALSE)</f>
        <v>0942</v>
      </c>
    </row>
    <row r="287" spans="1:33">
      <c r="A287" s="90"/>
      <c r="B287" s="85" t="str">
        <f t="shared" si="43"/>
        <v/>
      </c>
      <c r="C287" s="90"/>
      <c r="D287" s="85" t="str">
        <f t="shared" si="44"/>
        <v/>
      </c>
      <c r="E287" s="123"/>
      <c r="F287" s="85" t="str">
        <f t="shared" si="45"/>
        <v/>
      </c>
      <c r="G287" s="85" t="str">
        <f t="shared" si="46"/>
        <v/>
      </c>
      <c r="H287" s="122"/>
      <c r="I287" s="122"/>
      <c r="J287" s="122"/>
      <c r="K287" s="135"/>
      <c r="L287" s="134"/>
      <c r="M287" s="134"/>
      <c r="N287" s="135"/>
      <c r="O287" s="266"/>
      <c r="P287" s="89"/>
      <c r="R287" t="str">
        <f t="shared" si="47"/>
        <v/>
      </c>
      <c r="S287" t="str">
        <f t="shared" si="48"/>
        <v/>
      </c>
      <c r="T287" t="str">
        <f t="shared" si="49"/>
        <v/>
      </c>
      <c r="AD287" t="s">
        <v>2240</v>
      </c>
      <c r="AE287" t="s">
        <v>2241</v>
      </c>
      <c r="AF287" t="str">
        <f t="shared" si="50"/>
        <v>A679076</v>
      </c>
      <c r="AG287" t="str">
        <f>VLOOKUP(AF287,AKT!$C$4:$E$324,3,FALSE)</f>
        <v>0942</v>
      </c>
    </row>
    <row r="288" spans="1:33">
      <c r="A288" s="90"/>
      <c r="B288" s="85" t="str">
        <f t="shared" si="43"/>
        <v/>
      </c>
      <c r="C288" s="90"/>
      <c r="D288" s="85" t="str">
        <f t="shared" si="44"/>
        <v/>
      </c>
      <c r="E288" s="123"/>
      <c r="F288" s="85" t="str">
        <f t="shared" si="45"/>
        <v/>
      </c>
      <c r="G288" s="85" t="str">
        <f t="shared" si="46"/>
        <v/>
      </c>
      <c r="H288" s="122"/>
      <c r="I288" s="122"/>
      <c r="J288" s="122"/>
      <c r="K288" s="135"/>
      <c r="L288" s="134"/>
      <c r="M288" s="134"/>
      <c r="N288" s="135"/>
      <c r="O288" s="266"/>
      <c r="P288" s="89"/>
      <c r="R288" t="str">
        <f t="shared" si="47"/>
        <v/>
      </c>
      <c r="S288" t="str">
        <f t="shared" si="48"/>
        <v/>
      </c>
      <c r="T288" t="str">
        <f t="shared" si="49"/>
        <v/>
      </c>
      <c r="AD288" t="s">
        <v>2242</v>
      </c>
      <c r="AE288" t="s">
        <v>2243</v>
      </c>
      <c r="AF288" t="str">
        <f t="shared" si="50"/>
        <v>A679076</v>
      </c>
      <c r="AG288" t="str">
        <f>VLOOKUP(AF288,AKT!$C$4:$E$324,3,FALSE)</f>
        <v>0942</v>
      </c>
    </row>
    <row r="289" spans="1:33">
      <c r="A289" s="90"/>
      <c r="B289" s="85" t="str">
        <f t="shared" si="43"/>
        <v/>
      </c>
      <c r="C289" s="90"/>
      <c r="D289" s="85" t="str">
        <f t="shared" si="44"/>
        <v/>
      </c>
      <c r="E289" s="123"/>
      <c r="F289" s="85" t="str">
        <f t="shared" si="45"/>
        <v/>
      </c>
      <c r="G289" s="85" t="str">
        <f t="shared" si="46"/>
        <v/>
      </c>
      <c r="H289" s="122"/>
      <c r="I289" s="122"/>
      <c r="J289" s="122"/>
      <c r="K289" s="135"/>
      <c r="L289" s="134"/>
      <c r="M289" s="134"/>
      <c r="N289" s="135"/>
      <c r="O289" s="266"/>
      <c r="P289" s="89"/>
      <c r="R289" t="str">
        <f t="shared" si="47"/>
        <v/>
      </c>
      <c r="S289" t="str">
        <f t="shared" si="48"/>
        <v/>
      </c>
      <c r="T289" t="str">
        <f t="shared" si="49"/>
        <v/>
      </c>
      <c r="AD289" t="s">
        <v>2244</v>
      </c>
      <c r="AE289" t="s">
        <v>2245</v>
      </c>
      <c r="AF289" t="str">
        <f t="shared" si="50"/>
        <v>A679076</v>
      </c>
      <c r="AG289" t="str">
        <f>VLOOKUP(AF289,AKT!$C$4:$E$324,3,FALSE)</f>
        <v>0942</v>
      </c>
    </row>
    <row r="290" spans="1:33">
      <c r="A290" s="90"/>
      <c r="B290" s="85" t="str">
        <f t="shared" si="43"/>
        <v/>
      </c>
      <c r="C290" s="90"/>
      <c r="D290" s="85" t="str">
        <f t="shared" si="44"/>
        <v/>
      </c>
      <c r="E290" s="123"/>
      <c r="F290" s="85" t="str">
        <f t="shared" si="45"/>
        <v/>
      </c>
      <c r="G290" s="85" t="str">
        <f t="shared" si="46"/>
        <v/>
      </c>
      <c r="H290" s="122"/>
      <c r="I290" s="122"/>
      <c r="J290" s="122"/>
      <c r="K290" s="135"/>
      <c r="L290" s="134"/>
      <c r="M290" s="134"/>
      <c r="N290" s="135"/>
      <c r="O290" s="266"/>
      <c r="P290" s="89"/>
      <c r="R290" t="str">
        <f t="shared" si="47"/>
        <v/>
      </c>
      <c r="S290" t="str">
        <f t="shared" si="48"/>
        <v/>
      </c>
      <c r="T290" t="str">
        <f t="shared" si="49"/>
        <v/>
      </c>
      <c r="AD290" t="s">
        <v>2246</v>
      </c>
      <c r="AE290" t="s">
        <v>2247</v>
      </c>
      <c r="AF290" t="str">
        <f t="shared" si="50"/>
        <v>A679076</v>
      </c>
      <c r="AG290" t="str">
        <f>VLOOKUP(AF290,AKT!$C$4:$E$324,3,FALSE)</f>
        <v>0942</v>
      </c>
    </row>
    <row r="291" spans="1:33">
      <c r="A291" s="90"/>
      <c r="B291" s="85" t="str">
        <f t="shared" si="43"/>
        <v/>
      </c>
      <c r="C291" s="90"/>
      <c r="D291" s="85" t="str">
        <f t="shared" si="44"/>
        <v/>
      </c>
      <c r="E291" s="123"/>
      <c r="F291" s="85" t="str">
        <f t="shared" si="45"/>
        <v/>
      </c>
      <c r="G291" s="85" t="str">
        <f t="shared" si="46"/>
        <v/>
      </c>
      <c r="H291" s="122"/>
      <c r="I291" s="122"/>
      <c r="J291" s="122"/>
      <c r="K291" s="135"/>
      <c r="L291" s="134"/>
      <c r="M291" s="134"/>
      <c r="N291" s="135"/>
      <c r="O291" s="266"/>
      <c r="P291" s="89"/>
      <c r="R291" t="str">
        <f t="shared" si="47"/>
        <v/>
      </c>
      <c r="S291" t="str">
        <f t="shared" si="48"/>
        <v/>
      </c>
      <c r="T291" t="str">
        <f t="shared" si="49"/>
        <v/>
      </c>
      <c r="AD291" t="s">
        <v>2248</v>
      </c>
      <c r="AE291" t="s">
        <v>2249</v>
      </c>
      <c r="AF291" t="str">
        <f t="shared" si="50"/>
        <v>A679076</v>
      </c>
      <c r="AG291" t="str">
        <f>VLOOKUP(AF291,AKT!$C$4:$E$324,3,FALSE)</f>
        <v>0942</v>
      </c>
    </row>
    <row r="292" spans="1:33">
      <c r="A292" s="90"/>
      <c r="B292" s="85" t="str">
        <f t="shared" si="43"/>
        <v/>
      </c>
      <c r="C292" s="90"/>
      <c r="D292" s="85" t="str">
        <f t="shared" si="44"/>
        <v/>
      </c>
      <c r="E292" s="123"/>
      <c r="F292" s="85" t="str">
        <f t="shared" si="45"/>
        <v/>
      </c>
      <c r="G292" s="85" t="str">
        <f t="shared" si="46"/>
        <v/>
      </c>
      <c r="H292" s="122"/>
      <c r="I292" s="122"/>
      <c r="J292" s="122"/>
      <c r="K292" s="135"/>
      <c r="L292" s="134"/>
      <c r="M292" s="134"/>
      <c r="N292" s="135"/>
      <c r="O292" s="266"/>
      <c r="P292" s="89"/>
      <c r="R292" t="str">
        <f t="shared" si="47"/>
        <v/>
      </c>
      <c r="S292" t="str">
        <f t="shared" si="48"/>
        <v/>
      </c>
      <c r="T292" t="str">
        <f t="shared" si="49"/>
        <v/>
      </c>
      <c r="AD292" t="s">
        <v>3138</v>
      </c>
      <c r="AE292" t="s">
        <v>3139</v>
      </c>
      <c r="AF292" t="str">
        <f t="shared" si="50"/>
        <v>A679076</v>
      </c>
      <c r="AG292" t="str">
        <f>VLOOKUP(AF292,AKT!$C$4:$E$324,3,FALSE)</f>
        <v>0942</v>
      </c>
    </row>
    <row r="293" spans="1:33">
      <c r="A293" s="90"/>
      <c r="B293" s="85" t="str">
        <f t="shared" si="43"/>
        <v/>
      </c>
      <c r="C293" s="90"/>
      <c r="D293" s="85" t="str">
        <f t="shared" si="44"/>
        <v/>
      </c>
      <c r="E293" s="123"/>
      <c r="F293" s="85" t="str">
        <f t="shared" si="45"/>
        <v/>
      </c>
      <c r="G293" s="85" t="str">
        <f t="shared" si="46"/>
        <v/>
      </c>
      <c r="H293" s="122"/>
      <c r="I293" s="122"/>
      <c r="J293" s="122"/>
      <c r="K293" s="135"/>
      <c r="L293" s="134"/>
      <c r="M293" s="134"/>
      <c r="N293" s="135"/>
      <c r="O293" s="266"/>
      <c r="P293" s="89"/>
      <c r="R293" t="str">
        <f t="shared" si="47"/>
        <v/>
      </c>
      <c r="S293" t="str">
        <f t="shared" si="48"/>
        <v/>
      </c>
      <c r="T293" t="str">
        <f t="shared" si="49"/>
        <v/>
      </c>
      <c r="AD293" t="s">
        <v>3140</v>
      </c>
      <c r="AE293" t="s">
        <v>3141</v>
      </c>
      <c r="AF293" t="str">
        <f t="shared" si="50"/>
        <v>A679076</v>
      </c>
      <c r="AG293" t="str">
        <f>VLOOKUP(AF293,AKT!$C$4:$E$324,3,FALSE)</f>
        <v>0942</v>
      </c>
    </row>
    <row r="294" spans="1:33">
      <c r="A294" s="90"/>
      <c r="B294" s="85" t="str">
        <f t="shared" si="43"/>
        <v/>
      </c>
      <c r="C294" s="90"/>
      <c r="D294" s="85" t="str">
        <f t="shared" si="44"/>
        <v/>
      </c>
      <c r="E294" s="123"/>
      <c r="F294" s="85" t="str">
        <f t="shared" si="45"/>
        <v/>
      </c>
      <c r="G294" s="85" t="str">
        <f t="shared" si="46"/>
        <v/>
      </c>
      <c r="H294" s="122"/>
      <c r="I294" s="122"/>
      <c r="J294" s="122"/>
      <c r="K294" s="135"/>
      <c r="L294" s="134"/>
      <c r="M294" s="134"/>
      <c r="N294" s="135"/>
      <c r="O294" s="266"/>
      <c r="P294" s="89"/>
      <c r="R294" t="str">
        <f t="shared" si="47"/>
        <v/>
      </c>
      <c r="S294" t="str">
        <f t="shared" si="48"/>
        <v/>
      </c>
      <c r="T294" t="str">
        <f t="shared" si="49"/>
        <v/>
      </c>
      <c r="AD294" t="s">
        <v>3142</v>
      </c>
      <c r="AE294" t="s">
        <v>877</v>
      </c>
      <c r="AF294" t="str">
        <f t="shared" si="50"/>
        <v>A679076</v>
      </c>
      <c r="AG294" t="str">
        <f>VLOOKUP(AF294,AKT!$C$4:$E$324,3,FALSE)</f>
        <v>0942</v>
      </c>
    </row>
    <row r="295" spans="1:33">
      <c r="A295" s="90"/>
      <c r="B295" s="85" t="str">
        <f t="shared" si="43"/>
        <v/>
      </c>
      <c r="C295" s="90"/>
      <c r="D295" s="85" t="str">
        <f t="shared" si="44"/>
        <v/>
      </c>
      <c r="E295" s="123"/>
      <c r="F295" s="85" t="str">
        <f t="shared" si="45"/>
        <v/>
      </c>
      <c r="G295" s="85" t="str">
        <f t="shared" si="46"/>
        <v/>
      </c>
      <c r="H295" s="122"/>
      <c r="I295" s="122"/>
      <c r="J295" s="122"/>
      <c r="K295" s="135"/>
      <c r="L295" s="134"/>
      <c r="M295" s="134"/>
      <c r="N295" s="135"/>
      <c r="O295" s="266"/>
      <c r="P295" s="89"/>
      <c r="R295" t="str">
        <f t="shared" si="47"/>
        <v/>
      </c>
      <c r="S295" t="str">
        <f t="shared" si="48"/>
        <v/>
      </c>
      <c r="T295" t="str">
        <f t="shared" si="49"/>
        <v/>
      </c>
      <c r="AD295" t="s">
        <v>762</v>
      </c>
      <c r="AE295" t="s">
        <v>763</v>
      </c>
      <c r="AF295" t="str">
        <f t="shared" si="50"/>
        <v>A679077</v>
      </c>
      <c r="AG295" t="str">
        <f>VLOOKUP(AF295,AKT!$C$4:$E$324,3,FALSE)</f>
        <v>0942</v>
      </c>
    </row>
    <row r="296" spans="1:33">
      <c r="A296" s="90"/>
      <c r="B296" s="85" t="str">
        <f t="shared" si="43"/>
        <v/>
      </c>
      <c r="C296" s="90"/>
      <c r="D296" s="85" t="str">
        <f t="shared" si="44"/>
        <v/>
      </c>
      <c r="E296" s="123"/>
      <c r="F296" s="85" t="str">
        <f t="shared" si="45"/>
        <v/>
      </c>
      <c r="G296" s="85" t="str">
        <f t="shared" si="46"/>
        <v/>
      </c>
      <c r="H296" s="122"/>
      <c r="I296" s="122"/>
      <c r="J296" s="122"/>
      <c r="K296" s="135"/>
      <c r="L296" s="134"/>
      <c r="M296" s="134"/>
      <c r="N296" s="135"/>
      <c r="O296" s="266"/>
      <c r="P296" s="89"/>
      <c r="R296" t="str">
        <f t="shared" si="47"/>
        <v/>
      </c>
      <c r="S296" t="str">
        <f t="shared" si="48"/>
        <v/>
      </c>
      <c r="T296" t="str">
        <f t="shared" si="49"/>
        <v/>
      </c>
      <c r="AD296" t="s">
        <v>764</v>
      </c>
      <c r="AE296" t="s">
        <v>765</v>
      </c>
      <c r="AF296" t="str">
        <f t="shared" si="50"/>
        <v>A679077</v>
      </c>
      <c r="AG296" t="str">
        <f>VLOOKUP(AF296,AKT!$C$4:$E$324,3,FALSE)</f>
        <v>0942</v>
      </c>
    </row>
    <row r="297" spans="1:33">
      <c r="A297" s="90"/>
      <c r="B297" s="85" t="str">
        <f t="shared" si="43"/>
        <v/>
      </c>
      <c r="C297" s="90"/>
      <c r="D297" s="85" t="str">
        <f t="shared" si="44"/>
        <v/>
      </c>
      <c r="E297" s="123"/>
      <c r="F297" s="85" t="str">
        <f t="shared" si="45"/>
        <v/>
      </c>
      <c r="G297" s="85" t="str">
        <f t="shared" si="46"/>
        <v/>
      </c>
      <c r="H297" s="122"/>
      <c r="I297" s="122"/>
      <c r="J297" s="122"/>
      <c r="K297" s="135"/>
      <c r="L297" s="134"/>
      <c r="M297" s="134"/>
      <c r="N297" s="135"/>
      <c r="O297" s="266"/>
      <c r="P297" s="89"/>
      <c r="R297" t="str">
        <f t="shared" si="47"/>
        <v/>
      </c>
      <c r="S297" t="str">
        <f t="shared" si="48"/>
        <v/>
      </c>
      <c r="T297" t="str">
        <f t="shared" si="49"/>
        <v/>
      </c>
      <c r="AD297" t="s">
        <v>3143</v>
      </c>
      <c r="AE297" t="s">
        <v>3144</v>
      </c>
      <c r="AF297" t="str">
        <f t="shared" si="50"/>
        <v>A679077</v>
      </c>
      <c r="AG297" t="str">
        <f>VLOOKUP(AF297,AKT!$C$4:$E$324,3,FALSE)</f>
        <v>0942</v>
      </c>
    </row>
    <row r="298" spans="1:33">
      <c r="A298" s="90"/>
      <c r="B298" s="85" t="str">
        <f t="shared" si="43"/>
        <v/>
      </c>
      <c r="C298" s="90"/>
      <c r="D298" s="85" t="str">
        <f t="shared" si="44"/>
        <v/>
      </c>
      <c r="E298" s="123"/>
      <c r="F298" s="85" t="str">
        <f t="shared" si="45"/>
        <v/>
      </c>
      <c r="G298" s="85" t="str">
        <f t="shared" si="46"/>
        <v/>
      </c>
      <c r="H298" s="122"/>
      <c r="I298" s="122"/>
      <c r="J298" s="122"/>
      <c r="K298" s="135"/>
      <c r="L298" s="134"/>
      <c r="M298" s="134"/>
      <c r="N298" s="135"/>
      <c r="O298" s="266"/>
      <c r="P298" s="89"/>
      <c r="R298" t="str">
        <f t="shared" si="47"/>
        <v/>
      </c>
      <c r="S298" t="str">
        <f t="shared" si="48"/>
        <v/>
      </c>
      <c r="T298" t="str">
        <f t="shared" si="49"/>
        <v/>
      </c>
      <c r="AD298" t="s">
        <v>766</v>
      </c>
      <c r="AE298" t="s">
        <v>767</v>
      </c>
      <c r="AF298" t="str">
        <f t="shared" si="50"/>
        <v>A679077</v>
      </c>
      <c r="AG298" t="str">
        <f>VLOOKUP(AF298,AKT!$C$4:$E$324,3,FALSE)</f>
        <v>0942</v>
      </c>
    </row>
    <row r="299" spans="1:33">
      <c r="A299" s="90"/>
      <c r="B299" s="85" t="str">
        <f t="shared" si="43"/>
        <v/>
      </c>
      <c r="C299" s="90"/>
      <c r="D299" s="85" t="str">
        <f t="shared" si="44"/>
        <v/>
      </c>
      <c r="E299" s="123"/>
      <c r="F299" s="85" t="str">
        <f t="shared" si="45"/>
        <v/>
      </c>
      <c r="G299" s="85" t="str">
        <f t="shared" si="46"/>
        <v/>
      </c>
      <c r="H299" s="122"/>
      <c r="I299" s="122"/>
      <c r="J299" s="122"/>
      <c r="K299" s="135"/>
      <c r="L299" s="134"/>
      <c r="M299" s="134"/>
      <c r="N299" s="135"/>
      <c r="O299" s="266"/>
      <c r="P299" s="89"/>
      <c r="R299" t="str">
        <f t="shared" si="47"/>
        <v/>
      </c>
      <c r="S299" t="str">
        <f t="shared" si="48"/>
        <v/>
      </c>
      <c r="T299" t="str">
        <f t="shared" si="49"/>
        <v/>
      </c>
      <c r="AD299" t="s">
        <v>768</v>
      </c>
      <c r="AE299" t="s">
        <v>769</v>
      </c>
      <c r="AF299" t="str">
        <f t="shared" si="50"/>
        <v>A679077</v>
      </c>
      <c r="AG299" t="str">
        <f>VLOOKUP(AF299,AKT!$C$4:$E$324,3,FALSE)</f>
        <v>0942</v>
      </c>
    </row>
    <row r="300" spans="1:33">
      <c r="A300" s="90"/>
      <c r="B300" s="85" t="str">
        <f t="shared" si="43"/>
        <v/>
      </c>
      <c r="C300" s="90"/>
      <c r="D300" s="85" t="str">
        <f t="shared" si="44"/>
        <v/>
      </c>
      <c r="E300" s="123"/>
      <c r="F300" s="85" t="str">
        <f t="shared" si="45"/>
        <v/>
      </c>
      <c r="G300" s="85" t="str">
        <f t="shared" si="46"/>
        <v/>
      </c>
      <c r="H300" s="122"/>
      <c r="I300" s="122"/>
      <c r="J300" s="122"/>
      <c r="K300" s="135"/>
      <c r="L300" s="134"/>
      <c r="M300" s="134"/>
      <c r="N300" s="135"/>
      <c r="O300" s="266"/>
      <c r="P300" s="89"/>
      <c r="R300" t="str">
        <f t="shared" si="47"/>
        <v/>
      </c>
      <c r="S300" t="str">
        <f t="shared" si="48"/>
        <v/>
      </c>
      <c r="T300" t="str">
        <f t="shared" si="49"/>
        <v/>
      </c>
      <c r="AD300" t="s">
        <v>770</v>
      </c>
      <c r="AE300" t="s">
        <v>771</v>
      </c>
      <c r="AF300" t="str">
        <f t="shared" si="50"/>
        <v>A679077</v>
      </c>
      <c r="AG300" t="str">
        <f>VLOOKUP(AF300,AKT!$C$4:$E$324,3,FALSE)</f>
        <v>0942</v>
      </c>
    </row>
    <row r="301" spans="1:33">
      <c r="A301" s="90"/>
      <c r="B301" s="85" t="str">
        <f t="shared" si="43"/>
        <v/>
      </c>
      <c r="C301" s="90"/>
      <c r="D301" s="85" t="str">
        <f t="shared" si="44"/>
        <v/>
      </c>
      <c r="E301" s="123"/>
      <c r="F301" s="85" t="str">
        <f t="shared" si="45"/>
        <v/>
      </c>
      <c r="G301" s="85" t="str">
        <f t="shared" si="46"/>
        <v/>
      </c>
      <c r="H301" s="122"/>
      <c r="I301" s="122"/>
      <c r="J301" s="122"/>
      <c r="K301" s="135"/>
      <c r="L301" s="134"/>
      <c r="M301" s="134"/>
      <c r="N301" s="135"/>
      <c r="O301" s="266"/>
      <c r="P301" s="89"/>
      <c r="R301" t="str">
        <f t="shared" si="47"/>
        <v/>
      </c>
      <c r="S301" t="str">
        <f t="shared" si="48"/>
        <v/>
      </c>
      <c r="T301" t="str">
        <f t="shared" si="49"/>
        <v/>
      </c>
      <c r="AD301" t="s">
        <v>772</v>
      </c>
      <c r="AE301" t="s">
        <v>773</v>
      </c>
      <c r="AF301" t="str">
        <f t="shared" si="50"/>
        <v>A679077</v>
      </c>
      <c r="AG301" t="str">
        <f>VLOOKUP(AF301,AKT!$C$4:$E$324,3,FALSE)</f>
        <v>0942</v>
      </c>
    </row>
    <row r="302" spans="1:33">
      <c r="A302" s="90"/>
      <c r="B302" s="85" t="str">
        <f t="shared" si="43"/>
        <v/>
      </c>
      <c r="C302" s="90"/>
      <c r="D302" s="85" t="str">
        <f t="shared" si="44"/>
        <v/>
      </c>
      <c r="E302" s="123"/>
      <c r="F302" s="85" t="str">
        <f t="shared" si="45"/>
        <v/>
      </c>
      <c r="G302" s="85" t="str">
        <f t="shared" si="46"/>
        <v/>
      </c>
      <c r="H302" s="122"/>
      <c r="I302" s="122"/>
      <c r="J302" s="122"/>
      <c r="K302" s="135"/>
      <c r="L302" s="134"/>
      <c r="M302" s="134"/>
      <c r="N302" s="135"/>
      <c r="O302" s="266"/>
      <c r="P302" s="89"/>
      <c r="R302" t="str">
        <f t="shared" si="47"/>
        <v/>
      </c>
      <c r="S302" t="str">
        <f t="shared" si="48"/>
        <v/>
      </c>
      <c r="T302" t="str">
        <f t="shared" si="49"/>
        <v/>
      </c>
      <c r="AD302" t="s">
        <v>774</v>
      </c>
      <c r="AE302" t="s">
        <v>775</v>
      </c>
      <c r="AF302" t="str">
        <f t="shared" si="50"/>
        <v>A679077</v>
      </c>
      <c r="AG302" t="str">
        <f>VLOOKUP(AF302,AKT!$C$4:$E$324,3,FALSE)</f>
        <v>0942</v>
      </c>
    </row>
    <row r="303" spans="1:33">
      <c r="A303" s="90"/>
      <c r="B303" s="85" t="str">
        <f t="shared" si="43"/>
        <v/>
      </c>
      <c r="C303" s="90"/>
      <c r="D303" s="85" t="str">
        <f t="shared" si="44"/>
        <v/>
      </c>
      <c r="E303" s="123"/>
      <c r="F303" s="85" t="str">
        <f t="shared" si="45"/>
        <v/>
      </c>
      <c r="G303" s="85" t="str">
        <f t="shared" si="46"/>
        <v/>
      </c>
      <c r="H303" s="122"/>
      <c r="I303" s="122"/>
      <c r="J303" s="122"/>
      <c r="K303" s="135"/>
      <c r="L303" s="134"/>
      <c r="M303" s="134"/>
      <c r="N303" s="135"/>
      <c r="O303" s="266"/>
      <c r="P303" s="89"/>
      <c r="R303" t="str">
        <f t="shared" si="47"/>
        <v/>
      </c>
      <c r="S303" t="str">
        <f t="shared" si="48"/>
        <v/>
      </c>
      <c r="T303" t="str">
        <f t="shared" si="49"/>
        <v/>
      </c>
      <c r="AD303" t="s">
        <v>3145</v>
      </c>
      <c r="AE303" t="s">
        <v>3146</v>
      </c>
      <c r="AF303" t="str">
        <f t="shared" si="50"/>
        <v>A679077</v>
      </c>
      <c r="AG303" t="str">
        <f>VLOOKUP(AF303,AKT!$C$4:$E$324,3,FALSE)</f>
        <v>0942</v>
      </c>
    </row>
    <row r="304" spans="1:33">
      <c r="A304" s="90"/>
      <c r="B304" s="85" t="str">
        <f t="shared" si="43"/>
        <v/>
      </c>
      <c r="C304" s="90"/>
      <c r="D304" s="85" t="str">
        <f t="shared" si="44"/>
        <v/>
      </c>
      <c r="E304" s="123"/>
      <c r="F304" s="85" t="str">
        <f t="shared" si="45"/>
        <v/>
      </c>
      <c r="G304" s="85" t="str">
        <f t="shared" si="46"/>
        <v/>
      </c>
      <c r="H304" s="122"/>
      <c r="I304" s="122"/>
      <c r="J304" s="122"/>
      <c r="K304" s="135"/>
      <c r="L304" s="134"/>
      <c r="M304" s="134"/>
      <c r="N304" s="135"/>
      <c r="O304" s="266"/>
      <c r="P304" s="89"/>
      <c r="R304" t="str">
        <f t="shared" si="47"/>
        <v/>
      </c>
      <c r="S304" t="str">
        <f t="shared" si="48"/>
        <v/>
      </c>
      <c r="T304" t="str">
        <f t="shared" si="49"/>
        <v/>
      </c>
      <c r="AD304" t="s">
        <v>776</v>
      </c>
      <c r="AE304" t="s">
        <v>777</v>
      </c>
      <c r="AF304" t="str">
        <f t="shared" si="50"/>
        <v>A679077</v>
      </c>
      <c r="AG304" t="str">
        <f>VLOOKUP(AF304,AKT!$C$4:$E$324,3,FALSE)</f>
        <v>0942</v>
      </c>
    </row>
    <row r="305" spans="1:33">
      <c r="A305" s="90"/>
      <c r="B305" s="85" t="str">
        <f t="shared" si="43"/>
        <v/>
      </c>
      <c r="C305" s="90"/>
      <c r="D305" s="85" t="str">
        <f t="shared" si="44"/>
        <v/>
      </c>
      <c r="E305" s="123"/>
      <c r="F305" s="85" t="str">
        <f t="shared" si="45"/>
        <v/>
      </c>
      <c r="G305" s="85" t="str">
        <f t="shared" si="46"/>
        <v/>
      </c>
      <c r="H305" s="122"/>
      <c r="I305" s="122"/>
      <c r="J305" s="122"/>
      <c r="K305" s="135"/>
      <c r="L305" s="134"/>
      <c r="M305" s="134"/>
      <c r="N305" s="135"/>
      <c r="O305" s="266"/>
      <c r="P305" s="89"/>
      <c r="R305" t="str">
        <f t="shared" si="47"/>
        <v/>
      </c>
      <c r="S305" t="str">
        <f t="shared" si="48"/>
        <v/>
      </c>
      <c r="T305" t="str">
        <f t="shared" si="49"/>
        <v/>
      </c>
      <c r="AD305" t="s">
        <v>778</v>
      </c>
      <c r="AE305" t="s">
        <v>779</v>
      </c>
      <c r="AF305" t="str">
        <f t="shared" si="50"/>
        <v>A679077</v>
      </c>
      <c r="AG305" t="str">
        <f>VLOOKUP(AF305,AKT!$C$4:$E$324,3,FALSE)</f>
        <v>0942</v>
      </c>
    </row>
    <row r="306" spans="1:33">
      <c r="A306" s="90"/>
      <c r="B306" s="85" t="str">
        <f t="shared" si="43"/>
        <v/>
      </c>
      <c r="C306" s="90"/>
      <c r="D306" s="85" t="str">
        <f t="shared" si="44"/>
        <v/>
      </c>
      <c r="E306" s="123"/>
      <c r="F306" s="85" t="str">
        <f t="shared" si="45"/>
        <v/>
      </c>
      <c r="G306" s="85" t="str">
        <f t="shared" si="46"/>
        <v/>
      </c>
      <c r="H306" s="122"/>
      <c r="I306" s="122"/>
      <c r="J306" s="122"/>
      <c r="K306" s="135"/>
      <c r="L306" s="134"/>
      <c r="M306" s="134"/>
      <c r="N306" s="135"/>
      <c r="O306" s="266"/>
      <c r="P306" s="89"/>
      <c r="R306" t="str">
        <f t="shared" si="47"/>
        <v/>
      </c>
      <c r="S306" t="str">
        <f t="shared" si="48"/>
        <v/>
      </c>
      <c r="T306" t="str">
        <f t="shared" si="49"/>
        <v/>
      </c>
      <c r="AD306" t="s">
        <v>780</v>
      </c>
      <c r="AE306" t="s">
        <v>781</v>
      </c>
      <c r="AF306" t="str">
        <f t="shared" si="50"/>
        <v>A679077</v>
      </c>
      <c r="AG306" t="str">
        <f>VLOOKUP(AF306,AKT!$C$4:$E$324,3,FALSE)</f>
        <v>0942</v>
      </c>
    </row>
    <row r="307" spans="1:33">
      <c r="A307" s="90"/>
      <c r="B307" s="85" t="str">
        <f t="shared" si="43"/>
        <v/>
      </c>
      <c r="C307" s="90"/>
      <c r="D307" s="85" t="str">
        <f t="shared" si="44"/>
        <v/>
      </c>
      <c r="E307" s="123"/>
      <c r="F307" s="85" t="str">
        <f t="shared" si="45"/>
        <v/>
      </c>
      <c r="G307" s="85" t="str">
        <f t="shared" si="46"/>
        <v/>
      </c>
      <c r="H307" s="122"/>
      <c r="I307" s="122"/>
      <c r="J307" s="122"/>
      <c r="K307" s="135"/>
      <c r="L307" s="134"/>
      <c r="M307" s="134"/>
      <c r="N307" s="135"/>
      <c r="O307" s="266"/>
      <c r="P307" s="89"/>
      <c r="R307" t="str">
        <f t="shared" si="47"/>
        <v/>
      </c>
      <c r="S307" t="str">
        <f t="shared" si="48"/>
        <v/>
      </c>
      <c r="T307" t="str">
        <f t="shared" si="49"/>
        <v/>
      </c>
      <c r="AD307" t="s">
        <v>782</v>
      </c>
      <c r="AE307" t="s">
        <v>783</v>
      </c>
      <c r="AF307" t="str">
        <f t="shared" si="50"/>
        <v>A679077</v>
      </c>
      <c r="AG307" t="str">
        <f>VLOOKUP(AF307,AKT!$C$4:$E$324,3,FALSE)</f>
        <v>0942</v>
      </c>
    </row>
    <row r="308" spans="1:33">
      <c r="A308" s="90"/>
      <c r="B308" s="85" t="str">
        <f t="shared" si="43"/>
        <v/>
      </c>
      <c r="C308" s="90"/>
      <c r="D308" s="85" t="str">
        <f t="shared" si="44"/>
        <v/>
      </c>
      <c r="E308" s="123"/>
      <c r="F308" s="85" t="str">
        <f t="shared" si="45"/>
        <v/>
      </c>
      <c r="G308" s="85" t="str">
        <f t="shared" si="46"/>
        <v/>
      </c>
      <c r="H308" s="122"/>
      <c r="I308" s="122"/>
      <c r="J308" s="122"/>
      <c r="K308" s="135"/>
      <c r="L308" s="134"/>
      <c r="M308" s="134"/>
      <c r="N308" s="135"/>
      <c r="O308" s="266"/>
      <c r="P308" s="89"/>
      <c r="R308" t="str">
        <f t="shared" si="47"/>
        <v/>
      </c>
      <c r="S308" t="str">
        <f t="shared" si="48"/>
        <v/>
      </c>
      <c r="T308" t="str">
        <f t="shared" si="49"/>
        <v/>
      </c>
      <c r="AD308" t="s">
        <v>784</v>
      </c>
      <c r="AE308" t="s">
        <v>785</v>
      </c>
      <c r="AF308" t="str">
        <f t="shared" si="50"/>
        <v>A679077</v>
      </c>
      <c r="AG308" t="str">
        <f>VLOOKUP(AF308,AKT!$C$4:$E$324,3,FALSE)</f>
        <v>0942</v>
      </c>
    </row>
    <row r="309" spans="1:33">
      <c r="A309" s="90"/>
      <c r="B309" s="85" t="str">
        <f t="shared" si="43"/>
        <v/>
      </c>
      <c r="C309" s="90"/>
      <c r="D309" s="85" t="str">
        <f t="shared" si="44"/>
        <v/>
      </c>
      <c r="E309" s="123"/>
      <c r="F309" s="85" t="str">
        <f t="shared" si="45"/>
        <v/>
      </c>
      <c r="G309" s="85" t="str">
        <f t="shared" si="46"/>
        <v/>
      </c>
      <c r="H309" s="122"/>
      <c r="I309" s="122"/>
      <c r="J309" s="122"/>
      <c r="K309" s="135"/>
      <c r="L309" s="134"/>
      <c r="M309" s="134"/>
      <c r="N309" s="135"/>
      <c r="O309" s="266"/>
      <c r="P309" s="89"/>
      <c r="R309" t="str">
        <f t="shared" si="47"/>
        <v/>
      </c>
      <c r="S309" t="str">
        <f t="shared" si="48"/>
        <v/>
      </c>
      <c r="T309" t="str">
        <f t="shared" si="49"/>
        <v/>
      </c>
      <c r="AD309" t="s">
        <v>786</v>
      </c>
      <c r="AE309" t="s">
        <v>787</v>
      </c>
      <c r="AF309" t="str">
        <f t="shared" si="50"/>
        <v>A679077</v>
      </c>
      <c r="AG309" t="str">
        <f>VLOOKUP(AF309,AKT!$C$4:$E$324,3,FALSE)</f>
        <v>0942</v>
      </c>
    </row>
    <row r="310" spans="1:33">
      <c r="A310" s="90"/>
      <c r="B310" s="85" t="str">
        <f t="shared" si="43"/>
        <v/>
      </c>
      <c r="C310" s="90"/>
      <c r="D310" s="85" t="str">
        <f t="shared" si="44"/>
        <v/>
      </c>
      <c r="E310" s="123"/>
      <c r="F310" s="85" t="str">
        <f t="shared" si="45"/>
        <v/>
      </c>
      <c r="G310" s="85" t="str">
        <f t="shared" si="46"/>
        <v/>
      </c>
      <c r="H310" s="122"/>
      <c r="I310" s="122"/>
      <c r="J310" s="122"/>
      <c r="K310" s="135"/>
      <c r="L310" s="134"/>
      <c r="M310" s="134"/>
      <c r="N310" s="135"/>
      <c r="O310" s="266"/>
      <c r="P310" s="89"/>
      <c r="R310" t="str">
        <f t="shared" si="47"/>
        <v/>
      </c>
      <c r="S310" t="str">
        <f t="shared" si="48"/>
        <v/>
      </c>
      <c r="T310" t="str">
        <f t="shared" si="49"/>
        <v/>
      </c>
      <c r="AD310" t="s">
        <v>788</v>
      </c>
      <c r="AE310" t="s">
        <v>789</v>
      </c>
      <c r="AF310" t="str">
        <f t="shared" si="50"/>
        <v>A679077</v>
      </c>
      <c r="AG310" t="str">
        <f>VLOOKUP(AF310,AKT!$C$4:$E$324,3,FALSE)</f>
        <v>0942</v>
      </c>
    </row>
    <row r="311" spans="1:33">
      <c r="A311" s="90"/>
      <c r="B311" s="85" t="str">
        <f t="shared" si="43"/>
        <v/>
      </c>
      <c r="C311" s="90"/>
      <c r="D311" s="85" t="str">
        <f t="shared" si="44"/>
        <v/>
      </c>
      <c r="E311" s="123"/>
      <c r="F311" s="85" t="str">
        <f t="shared" si="45"/>
        <v/>
      </c>
      <c r="G311" s="85" t="str">
        <f t="shared" si="46"/>
        <v/>
      </c>
      <c r="H311" s="122"/>
      <c r="I311" s="122"/>
      <c r="J311" s="122"/>
      <c r="K311" s="135"/>
      <c r="L311" s="134"/>
      <c r="M311" s="134"/>
      <c r="N311" s="135"/>
      <c r="O311" s="266"/>
      <c r="P311" s="89"/>
      <c r="R311" t="str">
        <f t="shared" si="47"/>
        <v/>
      </c>
      <c r="S311" t="str">
        <f t="shared" si="48"/>
        <v/>
      </c>
      <c r="T311" t="str">
        <f t="shared" si="49"/>
        <v/>
      </c>
      <c r="AD311" t="s">
        <v>790</v>
      </c>
      <c r="AE311" t="s">
        <v>791</v>
      </c>
      <c r="AF311" t="str">
        <f t="shared" si="50"/>
        <v>A679077</v>
      </c>
      <c r="AG311" t="str">
        <f>VLOOKUP(AF311,AKT!$C$4:$E$324,3,FALSE)</f>
        <v>0942</v>
      </c>
    </row>
    <row r="312" spans="1:33">
      <c r="A312" s="90"/>
      <c r="B312" s="85" t="str">
        <f t="shared" si="43"/>
        <v/>
      </c>
      <c r="C312" s="90"/>
      <c r="D312" s="85" t="str">
        <f t="shared" si="44"/>
        <v/>
      </c>
      <c r="E312" s="123"/>
      <c r="F312" s="85" t="str">
        <f t="shared" si="45"/>
        <v/>
      </c>
      <c r="G312" s="85" t="str">
        <f t="shared" si="46"/>
        <v/>
      </c>
      <c r="H312" s="122"/>
      <c r="I312" s="122"/>
      <c r="J312" s="122"/>
      <c r="K312" s="135"/>
      <c r="L312" s="134"/>
      <c r="M312" s="134"/>
      <c r="N312" s="135"/>
      <c r="O312" s="266"/>
      <c r="P312" s="89"/>
      <c r="R312" t="str">
        <f t="shared" si="47"/>
        <v/>
      </c>
      <c r="S312" t="str">
        <f t="shared" si="48"/>
        <v/>
      </c>
      <c r="T312" t="str">
        <f t="shared" si="49"/>
        <v/>
      </c>
      <c r="AD312" t="s">
        <v>792</v>
      </c>
      <c r="AE312" t="s">
        <v>793</v>
      </c>
      <c r="AF312" t="str">
        <f t="shared" si="50"/>
        <v>A679077</v>
      </c>
      <c r="AG312" t="str">
        <f>VLOOKUP(AF312,AKT!$C$4:$E$324,3,FALSE)</f>
        <v>0942</v>
      </c>
    </row>
    <row r="313" spans="1:33">
      <c r="A313" s="90"/>
      <c r="B313" s="85" t="str">
        <f t="shared" si="43"/>
        <v/>
      </c>
      <c r="C313" s="90"/>
      <c r="D313" s="85" t="str">
        <f t="shared" si="44"/>
        <v/>
      </c>
      <c r="E313" s="123"/>
      <c r="F313" s="85" t="str">
        <f t="shared" si="45"/>
        <v/>
      </c>
      <c r="G313" s="85" t="str">
        <f t="shared" si="46"/>
        <v/>
      </c>
      <c r="H313" s="122"/>
      <c r="I313" s="122"/>
      <c r="J313" s="122"/>
      <c r="K313" s="135"/>
      <c r="L313" s="134"/>
      <c r="M313" s="134"/>
      <c r="N313" s="135"/>
      <c r="O313" s="266"/>
      <c r="P313" s="89"/>
      <c r="R313" t="str">
        <f t="shared" si="47"/>
        <v/>
      </c>
      <c r="S313" t="str">
        <f t="shared" si="48"/>
        <v/>
      </c>
      <c r="T313" t="str">
        <f t="shared" si="49"/>
        <v/>
      </c>
      <c r="AD313" t="s">
        <v>794</v>
      </c>
      <c r="AE313" t="s">
        <v>795</v>
      </c>
      <c r="AF313" t="str">
        <f t="shared" si="50"/>
        <v>A679077</v>
      </c>
      <c r="AG313" t="str">
        <f>VLOOKUP(AF313,AKT!$C$4:$E$324,3,FALSE)</f>
        <v>0942</v>
      </c>
    </row>
    <row r="314" spans="1:33">
      <c r="A314" s="90"/>
      <c r="B314" s="85" t="str">
        <f t="shared" si="43"/>
        <v/>
      </c>
      <c r="C314" s="90"/>
      <c r="D314" s="85" t="str">
        <f t="shared" si="44"/>
        <v/>
      </c>
      <c r="E314" s="123"/>
      <c r="F314" s="85" t="str">
        <f t="shared" si="45"/>
        <v/>
      </c>
      <c r="G314" s="85" t="str">
        <f t="shared" si="46"/>
        <v/>
      </c>
      <c r="H314" s="122"/>
      <c r="I314" s="122"/>
      <c r="J314" s="122"/>
      <c r="K314" s="135"/>
      <c r="L314" s="134"/>
      <c r="M314" s="134"/>
      <c r="N314" s="135"/>
      <c r="O314" s="266"/>
      <c r="P314" s="89"/>
      <c r="R314" t="str">
        <f t="shared" si="47"/>
        <v/>
      </c>
      <c r="S314" t="str">
        <f t="shared" si="48"/>
        <v/>
      </c>
      <c r="T314" t="str">
        <f t="shared" si="49"/>
        <v/>
      </c>
      <c r="AD314" t="s">
        <v>796</v>
      </c>
      <c r="AE314" t="s">
        <v>797</v>
      </c>
      <c r="AF314" t="str">
        <f t="shared" si="50"/>
        <v>A679077</v>
      </c>
      <c r="AG314" t="str">
        <f>VLOOKUP(AF314,AKT!$C$4:$E$324,3,FALSE)</f>
        <v>0942</v>
      </c>
    </row>
    <row r="315" spans="1:33">
      <c r="A315" s="90"/>
      <c r="B315" s="85" t="str">
        <f t="shared" si="43"/>
        <v/>
      </c>
      <c r="C315" s="90"/>
      <c r="D315" s="85" t="str">
        <f t="shared" si="44"/>
        <v/>
      </c>
      <c r="E315" s="123"/>
      <c r="F315" s="85" t="str">
        <f t="shared" si="45"/>
        <v/>
      </c>
      <c r="G315" s="85" t="str">
        <f t="shared" si="46"/>
        <v/>
      </c>
      <c r="H315" s="122"/>
      <c r="I315" s="122"/>
      <c r="J315" s="122"/>
      <c r="K315" s="135"/>
      <c r="L315" s="134"/>
      <c r="M315" s="134"/>
      <c r="N315" s="135"/>
      <c r="O315" s="266"/>
      <c r="P315" s="89"/>
      <c r="R315" t="str">
        <f t="shared" si="47"/>
        <v/>
      </c>
      <c r="S315" t="str">
        <f t="shared" si="48"/>
        <v/>
      </c>
      <c r="T315" t="str">
        <f t="shared" si="49"/>
        <v/>
      </c>
      <c r="AD315" t="s">
        <v>798</v>
      </c>
      <c r="AE315" t="s">
        <v>799</v>
      </c>
      <c r="AF315" t="str">
        <f t="shared" si="50"/>
        <v>A679077</v>
      </c>
      <c r="AG315" t="str">
        <f>VLOOKUP(AF315,AKT!$C$4:$E$324,3,FALSE)</f>
        <v>0942</v>
      </c>
    </row>
    <row r="316" spans="1:33">
      <c r="A316" s="90"/>
      <c r="B316" s="85" t="str">
        <f t="shared" si="43"/>
        <v/>
      </c>
      <c r="C316" s="90"/>
      <c r="D316" s="85" t="str">
        <f t="shared" si="44"/>
        <v/>
      </c>
      <c r="E316" s="123"/>
      <c r="F316" s="85" t="str">
        <f t="shared" si="45"/>
        <v/>
      </c>
      <c r="G316" s="85" t="str">
        <f t="shared" si="46"/>
        <v/>
      </c>
      <c r="H316" s="122"/>
      <c r="I316" s="122"/>
      <c r="J316" s="122"/>
      <c r="K316" s="135"/>
      <c r="L316" s="134"/>
      <c r="M316" s="134"/>
      <c r="N316" s="135"/>
      <c r="O316" s="266"/>
      <c r="P316" s="89"/>
      <c r="R316" t="str">
        <f t="shared" si="47"/>
        <v/>
      </c>
      <c r="S316" t="str">
        <f t="shared" si="48"/>
        <v/>
      </c>
      <c r="T316" t="str">
        <f t="shared" si="49"/>
        <v/>
      </c>
      <c r="AD316" t="s">
        <v>800</v>
      </c>
      <c r="AE316" t="s">
        <v>799</v>
      </c>
      <c r="AF316" t="str">
        <f t="shared" si="50"/>
        <v>A679077</v>
      </c>
      <c r="AG316" t="str">
        <f>VLOOKUP(AF316,AKT!$C$4:$E$324,3,FALSE)</f>
        <v>0942</v>
      </c>
    </row>
    <row r="317" spans="1:33">
      <c r="A317" s="90"/>
      <c r="B317" s="85" t="str">
        <f t="shared" si="43"/>
        <v/>
      </c>
      <c r="C317" s="90"/>
      <c r="D317" s="85" t="str">
        <f t="shared" si="44"/>
        <v/>
      </c>
      <c r="E317" s="123"/>
      <c r="F317" s="85" t="str">
        <f t="shared" si="45"/>
        <v/>
      </c>
      <c r="G317" s="85" t="str">
        <f t="shared" si="46"/>
        <v/>
      </c>
      <c r="H317" s="122"/>
      <c r="I317" s="122"/>
      <c r="J317" s="122"/>
      <c r="K317" s="135"/>
      <c r="L317" s="134"/>
      <c r="M317" s="134"/>
      <c r="N317" s="135"/>
      <c r="O317" s="266"/>
      <c r="P317" s="89"/>
      <c r="R317" t="str">
        <f t="shared" si="47"/>
        <v/>
      </c>
      <c r="S317" t="str">
        <f t="shared" si="48"/>
        <v/>
      </c>
      <c r="T317" t="str">
        <f t="shared" si="49"/>
        <v/>
      </c>
      <c r="AD317" t="s">
        <v>801</v>
      </c>
      <c r="AE317" t="s">
        <v>802</v>
      </c>
      <c r="AF317" t="str">
        <f t="shared" si="50"/>
        <v>A679077</v>
      </c>
      <c r="AG317" t="str">
        <f>VLOOKUP(AF317,AKT!$C$4:$E$324,3,FALSE)</f>
        <v>0942</v>
      </c>
    </row>
    <row r="318" spans="1:33">
      <c r="A318" s="90"/>
      <c r="B318" s="85" t="str">
        <f t="shared" si="43"/>
        <v/>
      </c>
      <c r="C318" s="90"/>
      <c r="D318" s="85" t="str">
        <f t="shared" si="44"/>
        <v/>
      </c>
      <c r="E318" s="123"/>
      <c r="F318" s="85" t="str">
        <f t="shared" si="45"/>
        <v/>
      </c>
      <c r="G318" s="85" t="str">
        <f t="shared" si="46"/>
        <v/>
      </c>
      <c r="H318" s="122"/>
      <c r="I318" s="122"/>
      <c r="J318" s="122"/>
      <c r="K318" s="135"/>
      <c r="L318" s="134"/>
      <c r="M318" s="134"/>
      <c r="N318" s="135"/>
      <c r="O318" s="266"/>
      <c r="P318" s="89"/>
      <c r="R318" t="str">
        <f t="shared" si="47"/>
        <v/>
      </c>
      <c r="S318" t="str">
        <f t="shared" si="48"/>
        <v/>
      </c>
      <c r="T318" t="str">
        <f t="shared" si="49"/>
        <v/>
      </c>
      <c r="AD318" t="s">
        <v>803</v>
      </c>
      <c r="AE318" t="s">
        <v>802</v>
      </c>
      <c r="AF318" t="str">
        <f t="shared" si="50"/>
        <v>A679077</v>
      </c>
      <c r="AG318" t="str">
        <f>VLOOKUP(AF318,AKT!$C$4:$E$324,3,FALSE)</f>
        <v>0942</v>
      </c>
    </row>
    <row r="319" spans="1:33">
      <c r="A319" s="90"/>
      <c r="B319" s="85" t="str">
        <f t="shared" si="43"/>
        <v/>
      </c>
      <c r="C319" s="90"/>
      <c r="D319" s="85" t="str">
        <f t="shared" si="44"/>
        <v/>
      </c>
      <c r="E319" s="123"/>
      <c r="F319" s="85" t="str">
        <f t="shared" si="45"/>
        <v/>
      </c>
      <c r="G319" s="85" t="str">
        <f t="shared" si="46"/>
        <v/>
      </c>
      <c r="H319" s="122"/>
      <c r="I319" s="122"/>
      <c r="J319" s="122"/>
      <c r="K319" s="135"/>
      <c r="L319" s="134"/>
      <c r="M319" s="134"/>
      <c r="N319" s="135"/>
      <c r="O319" s="266"/>
      <c r="P319" s="89"/>
      <c r="R319" t="str">
        <f t="shared" si="47"/>
        <v/>
      </c>
      <c r="S319" t="str">
        <f t="shared" si="48"/>
        <v/>
      </c>
      <c r="T319" t="str">
        <f t="shared" si="49"/>
        <v/>
      </c>
      <c r="AD319" t="s">
        <v>1354</v>
      </c>
      <c r="AE319" t="s">
        <v>1355</v>
      </c>
      <c r="AF319" t="str">
        <f t="shared" si="50"/>
        <v>A679077</v>
      </c>
      <c r="AG319" t="str">
        <f>VLOOKUP(AF319,AKT!$C$4:$E$324,3,FALSE)</f>
        <v>0942</v>
      </c>
    </row>
    <row r="320" spans="1:33">
      <c r="A320" s="90"/>
      <c r="B320" s="85" t="str">
        <f t="shared" si="43"/>
        <v/>
      </c>
      <c r="C320" s="90"/>
      <c r="D320" s="85" t="str">
        <f t="shared" si="44"/>
        <v/>
      </c>
      <c r="E320" s="123"/>
      <c r="F320" s="85" t="str">
        <f t="shared" si="45"/>
        <v/>
      </c>
      <c r="G320" s="85" t="str">
        <f t="shared" si="46"/>
        <v/>
      </c>
      <c r="H320" s="122"/>
      <c r="I320" s="122"/>
      <c r="J320" s="122"/>
      <c r="K320" s="135"/>
      <c r="L320" s="134"/>
      <c r="M320" s="134"/>
      <c r="N320" s="135"/>
      <c r="O320" s="266"/>
      <c r="P320" s="89"/>
      <c r="R320" t="str">
        <f t="shared" si="47"/>
        <v/>
      </c>
      <c r="S320" t="str">
        <f t="shared" si="48"/>
        <v/>
      </c>
      <c r="T320" t="str">
        <f t="shared" si="49"/>
        <v/>
      </c>
      <c r="AD320" t="s">
        <v>1356</v>
      </c>
      <c r="AE320" t="s">
        <v>1357</v>
      </c>
      <c r="AF320" t="str">
        <f t="shared" si="50"/>
        <v>A679077</v>
      </c>
      <c r="AG320" t="str">
        <f>VLOOKUP(AF320,AKT!$C$4:$E$324,3,FALSE)</f>
        <v>0942</v>
      </c>
    </row>
    <row r="321" spans="1:33">
      <c r="A321" s="90"/>
      <c r="B321" s="85" t="str">
        <f t="shared" si="43"/>
        <v/>
      </c>
      <c r="C321" s="90"/>
      <c r="D321" s="85" t="str">
        <f t="shared" si="44"/>
        <v/>
      </c>
      <c r="E321" s="123"/>
      <c r="F321" s="85" t="str">
        <f t="shared" si="45"/>
        <v/>
      </c>
      <c r="G321" s="85" t="str">
        <f t="shared" si="46"/>
        <v/>
      </c>
      <c r="H321" s="122"/>
      <c r="I321" s="122"/>
      <c r="J321" s="122"/>
      <c r="K321" s="135"/>
      <c r="L321" s="134"/>
      <c r="M321" s="134"/>
      <c r="N321" s="135"/>
      <c r="O321" s="266"/>
      <c r="P321" s="89"/>
      <c r="R321" t="str">
        <f t="shared" si="47"/>
        <v/>
      </c>
      <c r="S321" t="str">
        <f t="shared" si="48"/>
        <v/>
      </c>
      <c r="T321" t="str">
        <f t="shared" si="49"/>
        <v/>
      </c>
      <c r="AD321" t="s">
        <v>1358</v>
      </c>
      <c r="AE321" t="s">
        <v>1359</v>
      </c>
      <c r="AF321" t="str">
        <f t="shared" si="50"/>
        <v>A679077</v>
      </c>
      <c r="AG321" t="str">
        <f>VLOOKUP(AF321,AKT!$C$4:$E$324,3,FALSE)</f>
        <v>0942</v>
      </c>
    </row>
    <row r="322" spans="1:33">
      <c r="A322" s="90"/>
      <c r="B322" s="85" t="str">
        <f t="shared" si="43"/>
        <v/>
      </c>
      <c r="C322" s="90"/>
      <c r="D322" s="85" t="str">
        <f t="shared" si="44"/>
        <v/>
      </c>
      <c r="E322" s="123"/>
      <c r="F322" s="85" t="str">
        <f t="shared" si="45"/>
        <v/>
      </c>
      <c r="G322" s="85" t="str">
        <f t="shared" si="46"/>
        <v/>
      </c>
      <c r="H322" s="122"/>
      <c r="I322" s="122"/>
      <c r="J322" s="122"/>
      <c r="K322" s="135"/>
      <c r="L322" s="134"/>
      <c r="M322" s="134"/>
      <c r="N322" s="135"/>
      <c r="O322" s="266"/>
      <c r="P322" s="89"/>
      <c r="R322" t="str">
        <f t="shared" si="47"/>
        <v/>
      </c>
      <c r="S322" t="str">
        <f t="shared" si="48"/>
        <v/>
      </c>
      <c r="T322" t="str">
        <f t="shared" si="49"/>
        <v/>
      </c>
      <c r="AD322" t="s">
        <v>1360</v>
      </c>
      <c r="AE322" t="s">
        <v>1361</v>
      </c>
      <c r="AF322" t="str">
        <f t="shared" si="50"/>
        <v>A679077</v>
      </c>
      <c r="AG322" t="str">
        <f>VLOOKUP(AF322,AKT!$C$4:$E$324,3,FALSE)</f>
        <v>0942</v>
      </c>
    </row>
    <row r="323" spans="1:33">
      <c r="A323" s="90"/>
      <c r="B323" s="85" t="str">
        <f t="shared" si="43"/>
        <v/>
      </c>
      <c r="C323" s="90"/>
      <c r="D323" s="85" t="str">
        <f t="shared" si="44"/>
        <v/>
      </c>
      <c r="E323" s="123"/>
      <c r="F323" s="85" t="str">
        <f t="shared" si="45"/>
        <v/>
      </c>
      <c r="G323" s="85" t="str">
        <f t="shared" si="46"/>
        <v/>
      </c>
      <c r="H323" s="122"/>
      <c r="I323" s="122"/>
      <c r="J323" s="122"/>
      <c r="K323" s="135"/>
      <c r="L323" s="134"/>
      <c r="M323" s="134"/>
      <c r="N323" s="135"/>
      <c r="O323" s="266"/>
      <c r="P323" s="89"/>
      <c r="R323" t="str">
        <f t="shared" si="47"/>
        <v/>
      </c>
      <c r="S323" t="str">
        <f t="shared" si="48"/>
        <v/>
      </c>
      <c r="T323" t="str">
        <f t="shared" si="49"/>
        <v/>
      </c>
      <c r="AD323" t="s">
        <v>1362</v>
      </c>
      <c r="AE323" t="s">
        <v>1363</v>
      </c>
      <c r="AF323" t="str">
        <f t="shared" si="50"/>
        <v>A679077</v>
      </c>
      <c r="AG323" t="str">
        <f>VLOOKUP(AF323,AKT!$C$4:$E$324,3,FALSE)</f>
        <v>0942</v>
      </c>
    </row>
    <row r="324" spans="1:33">
      <c r="A324" s="90"/>
      <c r="B324" s="85" t="str">
        <f t="shared" ref="B324:B387" si="51">IFERROR(VLOOKUP(A324,$U$6:$V$23,2,FALSE),"")</f>
        <v/>
      </c>
      <c r="C324" s="90"/>
      <c r="D324" s="85" t="str">
        <f t="shared" ref="D324:D387" si="52">IFERROR(VLOOKUP(C324,$X$5:$Z$129,2,FALSE),"")</f>
        <v/>
      </c>
      <c r="E324" s="123"/>
      <c r="F324" s="85" t="str">
        <f t="shared" ref="F324:F387" si="53">IFERROR(VLOOKUP(E324,$AD$6:$AE$1090,2,FALSE),"")</f>
        <v/>
      </c>
      <c r="G324" s="85" t="str">
        <f t="shared" ref="G324:G387" si="54">IFERROR(VLOOKUP(E324,$AD$6:$AG$1090,4,FALSE),"")</f>
        <v/>
      </c>
      <c r="H324" s="122"/>
      <c r="I324" s="122"/>
      <c r="J324" s="122"/>
      <c r="K324" s="135"/>
      <c r="L324" s="134"/>
      <c r="M324" s="134"/>
      <c r="N324" s="135"/>
      <c r="O324" s="266"/>
      <c r="P324" s="89"/>
      <c r="R324" t="str">
        <f t="shared" ref="R324:R387" si="55">LEFT(C324,3)</f>
        <v/>
      </c>
      <c r="S324" t="str">
        <f t="shared" ref="S324:S387" si="56">LEFT(C324,2)</f>
        <v/>
      </c>
      <c r="T324" t="str">
        <f t="shared" ref="T324:T387" si="57">MID(G324,2,2)</f>
        <v/>
      </c>
      <c r="AD324" t="s">
        <v>1364</v>
      </c>
      <c r="AE324" t="s">
        <v>1365</v>
      </c>
      <c r="AF324" t="str">
        <f t="shared" si="50"/>
        <v>A679077</v>
      </c>
      <c r="AG324" t="str">
        <f>VLOOKUP(AF324,AKT!$C$4:$E$324,3,FALSE)</f>
        <v>0942</v>
      </c>
    </row>
    <row r="325" spans="1:33">
      <c r="A325" s="90"/>
      <c r="B325" s="85" t="str">
        <f t="shared" si="51"/>
        <v/>
      </c>
      <c r="C325" s="90"/>
      <c r="D325" s="85" t="str">
        <f t="shared" si="52"/>
        <v/>
      </c>
      <c r="E325" s="123"/>
      <c r="F325" s="85" t="str">
        <f t="shared" si="53"/>
        <v/>
      </c>
      <c r="G325" s="85" t="str">
        <f t="shared" si="54"/>
        <v/>
      </c>
      <c r="H325" s="122"/>
      <c r="I325" s="122"/>
      <c r="J325" s="122"/>
      <c r="K325" s="135"/>
      <c r="L325" s="134"/>
      <c r="M325" s="134"/>
      <c r="N325" s="135"/>
      <c r="O325" s="266"/>
      <c r="P325" s="89"/>
      <c r="R325" t="str">
        <f t="shared" si="55"/>
        <v/>
      </c>
      <c r="S325" t="str">
        <f t="shared" si="56"/>
        <v/>
      </c>
      <c r="T325" t="str">
        <f t="shared" si="57"/>
        <v/>
      </c>
      <c r="AD325" t="s">
        <v>1366</v>
      </c>
      <c r="AE325" t="s">
        <v>1367</v>
      </c>
      <c r="AF325" t="str">
        <f t="shared" si="50"/>
        <v>A679077</v>
      </c>
      <c r="AG325" t="str">
        <f>VLOOKUP(AF325,AKT!$C$4:$E$324,3,FALSE)</f>
        <v>0942</v>
      </c>
    </row>
    <row r="326" spans="1:33">
      <c r="A326" s="90"/>
      <c r="B326" s="85" t="str">
        <f t="shared" si="51"/>
        <v/>
      </c>
      <c r="C326" s="90"/>
      <c r="D326" s="85" t="str">
        <f t="shared" si="52"/>
        <v/>
      </c>
      <c r="E326" s="123"/>
      <c r="F326" s="85" t="str">
        <f t="shared" si="53"/>
        <v/>
      </c>
      <c r="G326" s="85" t="str">
        <f t="shared" si="54"/>
        <v/>
      </c>
      <c r="H326" s="122"/>
      <c r="I326" s="122"/>
      <c r="J326" s="122"/>
      <c r="K326" s="135"/>
      <c r="L326" s="134"/>
      <c r="M326" s="134"/>
      <c r="N326" s="135"/>
      <c r="O326" s="266"/>
      <c r="P326" s="89"/>
      <c r="R326" t="str">
        <f t="shared" si="55"/>
        <v/>
      </c>
      <c r="S326" t="str">
        <f t="shared" si="56"/>
        <v/>
      </c>
      <c r="T326" t="str">
        <f t="shared" si="57"/>
        <v/>
      </c>
      <c r="AD326" t="s">
        <v>1368</v>
      </c>
      <c r="AE326" t="s">
        <v>1369</v>
      </c>
      <c r="AF326" t="str">
        <f t="shared" si="50"/>
        <v>A679077</v>
      </c>
      <c r="AG326" t="str">
        <f>VLOOKUP(AF326,AKT!$C$4:$E$324,3,FALSE)</f>
        <v>0942</v>
      </c>
    </row>
    <row r="327" spans="1:33">
      <c r="A327" s="90"/>
      <c r="B327" s="85" t="str">
        <f t="shared" si="51"/>
        <v/>
      </c>
      <c r="C327" s="90"/>
      <c r="D327" s="85" t="str">
        <f t="shared" si="52"/>
        <v/>
      </c>
      <c r="E327" s="123"/>
      <c r="F327" s="85" t="str">
        <f t="shared" si="53"/>
        <v/>
      </c>
      <c r="G327" s="85" t="str">
        <f t="shared" si="54"/>
        <v/>
      </c>
      <c r="H327" s="122"/>
      <c r="I327" s="122"/>
      <c r="J327" s="122"/>
      <c r="K327" s="135"/>
      <c r="L327" s="134"/>
      <c r="M327" s="134"/>
      <c r="N327" s="135"/>
      <c r="O327" s="266"/>
      <c r="P327" s="89"/>
      <c r="R327" t="str">
        <f t="shared" si="55"/>
        <v/>
      </c>
      <c r="S327" t="str">
        <f t="shared" si="56"/>
        <v/>
      </c>
      <c r="T327" t="str">
        <f t="shared" si="57"/>
        <v/>
      </c>
      <c r="AD327" t="s">
        <v>1370</v>
      </c>
      <c r="AE327" t="s">
        <v>1371</v>
      </c>
      <c r="AF327" t="str">
        <f t="shared" si="50"/>
        <v>A679077</v>
      </c>
      <c r="AG327" t="str">
        <f>VLOOKUP(AF327,AKT!$C$4:$E$324,3,FALSE)</f>
        <v>0942</v>
      </c>
    </row>
    <row r="328" spans="1:33">
      <c r="A328" s="90"/>
      <c r="B328" s="85" t="str">
        <f t="shared" si="51"/>
        <v/>
      </c>
      <c r="C328" s="90"/>
      <c r="D328" s="85" t="str">
        <f t="shared" si="52"/>
        <v/>
      </c>
      <c r="E328" s="123"/>
      <c r="F328" s="85" t="str">
        <f t="shared" si="53"/>
        <v/>
      </c>
      <c r="G328" s="85" t="str">
        <f t="shared" si="54"/>
        <v/>
      </c>
      <c r="H328" s="122"/>
      <c r="I328" s="122"/>
      <c r="J328" s="122"/>
      <c r="K328" s="135"/>
      <c r="L328" s="134"/>
      <c r="M328" s="134"/>
      <c r="N328" s="135"/>
      <c r="O328" s="266"/>
      <c r="P328" s="89"/>
      <c r="R328" t="str">
        <f t="shared" si="55"/>
        <v/>
      </c>
      <c r="S328" t="str">
        <f t="shared" si="56"/>
        <v/>
      </c>
      <c r="T328" t="str">
        <f t="shared" si="57"/>
        <v/>
      </c>
      <c r="AD328" t="s">
        <v>1372</v>
      </c>
      <c r="AE328" t="s">
        <v>1373</v>
      </c>
      <c r="AF328" t="str">
        <f t="shared" ref="AF328:AF391" si="58">LEFT(AD328,7)</f>
        <v>A679077</v>
      </c>
      <c r="AG328" t="str">
        <f>VLOOKUP(AF328,AKT!$C$4:$E$324,3,FALSE)</f>
        <v>0942</v>
      </c>
    </row>
    <row r="329" spans="1:33">
      <c r="A329" s="90"/>
      <c r="B329" s="85" t="str">
        <f t="shared" si="51"/>
        <v/>
      </c>
      <c r="C329" s="90"/>
      <c r="D329" s="85" t="str">
        <f t="shared" si="52"/>
        <v/>
      </c>
      <c r="E329" s="123"/>
      <c r="F329" s="85" t="str">
        <f t="shared" si="53"/>
        <v/>
      </c>
      <c r="G329" s="85" t="str">
        <f t="shared" si="54"/>
        <v/>
      </c>
      <c r="H329" s="122"/>
      <c r="I329" s="122"/>
      <c r="J329" s="122"/>
      <c r="K329" s="135"/>
      <c r="L329" s="134"/>
      <c r="M329" s="134"/>
      <c r="N329" s="135"/>
      <c r="O329" s="266"/>
      <c r="P329" s="89"/>
      <c r="R329" t="str">
        <f t="shared" si="55"/>
        <v/>
      </c>
      <c r="S329" t="str">
        <f t="shared" si="56"/>
        <v/>
      </c>
      <c r="T329" t="str">
        <f t="shared" si="57"/>
        <v/>
      </c>
      <c r="AD329" t="s">
        <v>1374</v>
      </c>
      <c r="AE329" t="s">
        <v>1375</v>
      </c>
      <c r="AF329" t="str">
        <f t="shared" si="58"/>
        <v>A679077</v>
      </c>
      <c r="AG329" t="str">
        <f>VLOOKUP(AF329,AKT!$C$4:$E$324,3,FALSE)</f>
        <v>0942</v>
      </c>
    </row>
    <row r="330" spans="1:33">
      <c r="A330" s="90"/>
      <c r="B330" s="85" t="str">
        <f t="shared" si="51"/>
        <v/>
      </c>
      <c r="C330" s="90"/>
      <c r="D330" s="85" t="str">
        <f t="shared" si="52"/>
        <v/>
      </c>
      <c r="E330" s="123"/>
      <c r="F330" s="85" t="str">
        <f t="shared" si="53"/>
        <v/>
      </c>
      <c r="G330" s="85" t="str">
        <f t="shared" si="54"/>
        <v/>
      </c>
      <c r="H330" s="122"/>
      <c r="I330" s="122"/>
      <c r="J330" s="122"/>
      <c r="K330" s="135"/>
      <c r="L330" s="134"/>
      <c r="M330" s="134"/>
      <c r="N330" s="135"/>
      <c r="O330" s="266"/>
      <c r="P330" s="89"/>
      <c r="R330" t="str">
        <f t="shared" si="55"/>
        <v/>
      </c>
      <c r="S330" t="str">
        <f t="shared" si="56"/>
        <v/>
      </c>
      <c r="T330" t="str">
        <f t="shared" si="57"/>
        <v/>
      </c>
      <c r="AD330" t="s">
        <v>1376</v>
      </c>
      <c r="AE330" t="s">
        <v>1377</v>
      </c>
      <c r="AF330" t="str">
        <f t="shared" si="58"/>
        <v>A679077</v>
      </c>
      <c r="AG330" t="str">
        <f>VLOOKUP(AF330,AKT!$C$4:$E$324,3,FALSE)</f>
        <v>0942</v>
      </c>
    </row>
    <row r="331" spans="1:33">
      <c r="A331" s="90"/>
      <c r="B331" s="85" t="str">
        <f t="shared" si="51"/>
        <v/>
      </c>
      <c r="C331" s="90"/>
      <c r="D331" s="85" t="str">
        <f t="shared" si="52"/>
        <v/>
      </c>
      <c r="E331" s="123"/>
      <c r="F331" s="85" t="str">
        <f t="shared" si="53"/>
        <v/>
      </c>
      <c r="G331" s="85" t="str">
        <f t="shared" si="54"/>
        <v/>
      </c>
      <c r="H331" s="122"/>
      <c r="I331" s="122"/>
      <c r="J331" s="122"/>
      <c r="K331" s="135"/>
      <c r="L331" s="134"/>
      <c r="M331" s="134"/>
      <c r="N331" s="135"/>
      <c r="O331" s="266"/>
      <c r="P331" s="89"/>
      <c r="R331" t="str">
        <f t="shared" si="55"/>
        <v/>
      </c>
      <c r="S331" t="str">
        <f t="shared" si="56"/>
        <v/>
      </c>
      <c r="T331" t="str">
        <f t="shared" si="57"/>
        <v/>
      </c>
      <c r="AD331" t="s">
        <v>1378</v>
      </c>
      <c r="AE331" t="s">
        <v>1379</v>
      </c>
      <c r="AF331" t="str">
        <f t="shared" si="58"/>
        <v>A679077</v>
      </c>
      <c r="AG331" t="str">
        <f>VLOOKUP(AF331,AKT!$C$4:$E$324,3,FALSE)</f>
        <v>0942</v>
      </c>
    </row>
    <row r="332" spans="1:33">
      <c r="A332" s="90"/>
      <c r="B332" s="85" t="str">
        <f t="shared" si="51"/>
        <v/>
      </c>
      <c r="C332" s="90"/>
      <c r="D332" s="85" t="str">
        <f t="shared" si="52"/>
        <v/>
      </c>
      <c r="E332" s="123"/>
      <c r="F332" s="85" t="str">
        <f t="shared" si="53"/>
        <v/>
      </c>
      <c r="G332" s="85" t="str">
        <f t="shared" si="54"/>
        <v/>
      </c>
      <c r="H332" s="122"/>
      <c r="I332" s="122"/>
      <c r="J332" s="122"/>
      <c r="K332" s="135"/>
      <c r="L332" s="134"/>
      <c r="M332" s="134"/>
      <c r="N332" s="135"/>
      <c r="O332" s="266"/>
      <c r="P332" s="89"/>
      <c r="R332" t="str">
        <f t="shared" si="55"/>
        <v/>
      </c>
      <c r="S332" t="str">
        <f t="shared" si="56"/>
        <v/>
      </c>
      <c r="T332" t="str">
        <f t="shared" si="57"/>
        <v/>
      </c>
      <c r="AD332" t="s">
        <v>1380</v>
      </c>
      <c r="AE332" t="s">
        <v>1381</v>
      </c>
      <c r="AF332" t="str">
        <f t="shared" si="58"/>
        <v>A679077</v>
      </c>
      <c r="AG332" t="str">
        <f>VLOOKUP(AF332,AKT!$C$4:$E$324,3,FALSE)</f>
        <v>0942</v>
      </c>
    </row>
    <row r="333" spans="1:33">
      <c r="A333" s="90"/>
      <c r="B333" s="85" t="str">
        <f t="shared" si="51"/>
        <v/>
      </c>
      <c r="C333" s="90"/>
      <c r="D333" s="85" t="str">
        <f t="shared" si="52"/>
        <v/>
      </c>
      <c r="E333" s="123"/>
      <c r="F333" s="85" t="str">
        <f t="shared" si="53"/>
        <v/>
      </c>
      <c r="G333" s="85" t="str">
        <f t="shared" si="54"/>
        <v/>
      </c>
      <c r="H333" s="122"/>
      <c r="I333" s="122"/>
      <c r="J333" s="122"/>
      <c r="K333" s="135"/>
      <c r="L333" s="134"/>
      <c r="M333" s="134"/>
      <c r="N333" s="135"/>
      <c r="O333" s="266"/>
      <c r="P333" s="89"/>
      <c r="R333" t="str">
        <f t="shared" si="55"/>
        <v/>
      </c>
      <c r="S333" t="str">
        <f t="shared" si="56"/>
        <v/>
      </c>
      <c r="T333" t="str">
        <f t="shared" si="57"/>
        <v/>
      </c>
      <c r="AD333" t="s">
        <v>1382</v>
      </c>
      <c r="AE333" t="s">
        <v>1383</v>
      </c>
      <c r="AF333" t="str">
        <f t="shared" si="58"/>
        <v>A679077</v>
      </c>
      <c r="AG333" t="str">
        <f>VLOOKUP(AF333,AKT!$C$4:$E$324,3,FALSE)</f>
        <v>0942</v>
      </c>
    </row>
    <row r="334" spans="1:33">
      <c r="A334" s="90"/>
      <c r="B334" s="85" t="str">
        <f t="shared" si="51"/>
        <v/>
      </c>
      <c r="C334" s="90"/>
      <c r="D334" s="85" t="str">
        <f t="shared" si="52"/>
        <v/>
      </c>
      <c r="E334" s="123"/>
      <c r="F334" s="85" t="str">
        <f t="shared" si="53"/>
        <v/>
      </c>
      <c r="G334" s="85" t="str">
        <f t="shared" si="54"/>
        <v/>
      </c>
      <c r="H334" s="122"/>
      <c r="I334" s="122"/>
      <c r="J334" s="122"/>
      <c r="K334" s="135"/>
      <c r="L334" s="134"/>
      <c r="M334" s="134"/>
      <c r="N334" s="135"/>
      <c r="O334" s="266"/>
      <c r="P334" s="89"/>
      <c r="R334" t="str">
        <f t="shared" si="55"/>
        <v/>
      </c>
      <c r="S334" t="str">
        <f t="shared" si="56"/>
        <v/>
      </c>
      <c r="T334" t="str">
        <f t="shared" si="57"/>
        <v/>
      </c>
      <c r="AD334" t="s">
        <v>1384</v>
      </c>
      <c r="AE334" t="s">
        <v>1385</v>
      </c>
      <c r="AF334" t="str">
        <f t="shared" si="58"/>
        <v>A679077</v>
      </c>
      <c r="AG334" t="str">
        <f>VLOOKUP(AF334,AKT!$C$4:$E$324,3,FALSE)</f>
        <v>0942</v>
      </c>
    </row>
    <row r="335" spans="1:33">
      <c r="A335" s="90"/>
      <c r="B335" s="85" t="str">
        <f t="shared" si="51"/>
        <v/>
      </c>
      <c r="C335" s="90"/>
      <c r="D335" s="85" t="str">
        <f t="shared" si="52"/>
        <v/>
      </c>
      <c r="E335" s="123"/>
      <c r="F335" s="85" t="str">
        <f t="shared" si="53"/>
        <v/>
      </c>
      <c r="G335" s="85" t="str">
        <f t="shared" si="54"/>
        <v/>
      </c>
      <c r="H335" s="122"/>
      <c r="I335" s="122"/>
      <c r="J335" s="122"/>
      <c r="K335" s="135"/>
      <c r="L335" s="134"/>
      <c r="M335" s="134"/>
      <c r="N335" s="135"/>
      <c r="O335" s="266"/>
      <c r="P335" s="89"/>
      <c r="R335" t="str">
        <f t="shared" si="55"/>
        <v/>
      </c>
      <c r="S335" t="str">
        <f t="shared" si="56"/>
        <v/>
      </c>
      <c r="T335" t="str">
        <f t="shared" si="57"/>
        <v/>
      </c>
      <c r="AD335" t="s">
        <v>1386</v>
      </c>
      <c r="AE335" t="s">
        <v>1387</v>
      </c>
      <c r="AF335" t="str">
        <f t="shared" si="58"/>
        <v>A679077</v>
      </c>
      <c r="AG335" t="str">
        <f>VLOOKUP(AF335,AKT!$C$4:$E$324,3,FALSE)</f>
        <v>0942</v>
      </c>
    </row>
    <row r="336" spans="1:33">
      <c r="A336" s="90"/>
      <c r="B336" s="85" t="str">
        <f t="shared" si="51"/>
        <v/>
      </c>
      <c r="C336" s="90"/>
      <c r="D336" s="85" t="str">
        <f t="shared" si="52"/>
        <v/>
      </c>
      <c r="E336" s="123"/>
      <c r="F336" s="85" t="str">
        <f t="shared" si="53"/>
        <v/>
      </c>
      <c r="G336" s="85" t="str">
        <f t="shared" si="54"/>
        <v/>
      </c>
      <c r="H336" s="122"/>
      <c r="I336" s="122"/>
      <c r="J336" s="122"/>
      <c r="K336" s="135"/>
      <c r="L336" s="134"/>
      <c r="M336" s="134"/>
      <c r="N336" s="135"/>
      <c r="O336" s="266"/>
      <c r="P336" s="89"/>
      <c r="R336" t="str">
        <f t="shared" si="55"/>
        <v/>
      </c>
      <c r="S336" t="str">
        <f t="shared" si="56"/>
        <v/>
      </c>
      <c r="T336" t="str">
        <f t="shared" si="57"/>
        <v/>
      </c>
      <c r="AD336" t="s">
        <v>1388</v>
      </c>
      <c r="AE336" t="s">
        <v>1389</v>
      </c>
      <c r="AF336" t="str">
        <f t="shared" si="58"/>
        <v>A679077</v>
      </c>
      <c r="AG336" t="str">
        <f>VLOOKUP(AF336,AKT!$C$4:$E$324,3,FALSE)</f>
        <v>0942</v>
      </c>
    </row>
    <row r="337" spans="1:33">
      <c r="A337" s="90"/>
      <c r="B337" s="85" t="str">
        <f t="shared" si="51"/>
        <v/>
      </c>
      <c r="C337" s="90"/>
      <c r="D337" s="85" t="str">
        <f t="shared" si="52"/>
        <v/>
      </c>
      <c r="E337" s="123"/>
      <c r="F337" s="85" t="str">
        <f t="shared" si="53"/>
        <v/>
      </c>
      <c r="G337" s="85" t="str">
        <f t="shared" si="54"/>
        <v/>
      </c>
      <c r="H337" s="122"/>
      <c r="I337" s="122"/>
      <c r="J337" s="122"/>
      <c r="K337" s="135"/>
      <c r="L337" s="134"/>
      <c r="M337" s="134"/>
      <c r="N337" s="135"/>
      <c r="O337" s="266"/>
      <c r="P337" s="89"/>
      <c r="R337" t="str">
        <f t="shared" si="55"/>
        <v/>
      </c>
      <c r="S337" t="str">
        <f t="shared" si="56"/>
        <v/>
      </c>
      <c r="T337" t="str">
        <f t="shared" si="57"/>
        <v/>
      </c>
      <c r="AD337" t="s">
        <v>1390</v>
      </c>
      <c r="AE337" t="s">
        <v>1391</v>
      </c>
      <c r="AF337" t="str">
        <f t="shared" si="58"/>
        <v>A679077</v>
      </c>
      <c r="AG337" t="str">
        <f>VLOOKUP(AF337,AKT!$C$4:$E$324,3,FALSE)</f>
        <v>0942</v>
      </c>
    </row>
    <row r="338" spans="1:33">
      <c r="A338" s="90"/>
      <c r="B338" s="85" t="str">
        <f t="shared" si="51"/>
        <v/>
      </c>
      <c r="C338" s="90"/>
      <c r="D338" s="85" t="str">
        <f t="shared" si="52"/>
        <v/>
      </c>
      <c r="E338" s="123"/>
      <c r="F338" s="85" t="str">
        <f t="shared" si="53"/>
        <v/>
      </c>
      <c r="G338" s="85" t="str">
        <f t="shared" si="54"/>
        <v/>
      </c>
      <c r="H338" s="122"/>
      <c r="I338" s="122"/>
      <c r="J338" s="122"/>
      <c r="K338" s="135"/>
      <c r="L338" s="134"/>
      <c r="M338" s="134"/>
      <c r="N338" s="135"/>
      <c r="O338" s="266"/>
      <c r="P338" s="89"/>
      <c r="R338" t="str">
        <f t="shared" si="55"/>
        <v/>
      </c>
      <c r="S338" t="str">
        <f t="shared" si="56"/>
        <v/>
      </c>
      <c r="T338" t="str">
        <f t="shared" si="57"/>
        <v/>
      </c>
      <c r="AD338" t="s">
        <v>1392</v>
      </c>
      <c r="AE338" t="s">
        <v>1393</v>
      </c>
      <c r="AF338" t="str">
        <f t="shared" si="58"/>
        <v>A679077</v>
      </c>
      <c r="AG338" t="str">
        <f>VLOOKUP(AF338,AKT!$C$4:$E$324,3,FALSE)</f>
        <v>0942</v>
      </c>
    </row>
    <row r="339" spans="1:33">
      <c r="A339" s="90"/>
      <c r="B339" s="85" t="str">
        <f t="shared" si="51"/>
        <v/>
      </c>
      <c r="C339" s="90"/>
      <c r="D339" s="85" t="str">
        <f t="shared" si="52"/>
        <v/>
      </c>
      <c r="E339" s="123"/>
      <c r="F339" s="85" t="str">
        <f t="shared" si="53"/>
        <v/>
      </c>
      <c r="G339" s="85" t="str">
        <f t="shared" si="54"/>
        <v/>
      </c>
      <c r="H339" s="122"/>
      <c r="I339" s="122"/>
      <c r="J339" s="122"/>
      <c r="K339" s="135"/>
      <c r="L339" s="134"/>
      <c r="M339" s="134"/>
      <c r="N339" s="135"/>
      <c r="O339" s="266"/>
      <c r="P339" s="89"/>
      <c r="R339" t="str">
        <f t="shared" si="55"/>
        <v/>
      </c>
      <c r="S339" t="str">
        <f t="shared" si="56"/>
        <v/>
      </c>
      <c r="T339" t="str">
        <f t="shared" si="57"/>
        <v/>
      </c>
      <c r="AD339" t="s">
        <v>1394</v>
      </c>
      <c r="AE339" t="s">
        <v>1395</v>
      </c>
      <c r="AF339" t="str">
        <f t="shared" si="58"/>
        <v>A679077</v>
      </c>
      <c r="AG339" t="str">
        <f>VLOOKUP(AF339,AKT!$C$4:$E$324,3,FALSE)</f>
        <v>0942</v>
      </c>
    </row>
    <row r="340" spans="1:33">
      <c r="A340" s="90"/>
      <c r="B340" s="85" t="str">
        <f t="shared" si="51"/>
        <v/>
      </c>
      <c r="C340" s="90"/>
      <c r="D340" s="85" t="str">
        <f t="shared" si="52"/>
        <v/>
      </c>
      <c r="E340" s="123"/>
      <c r="F340" s="85" t="str">
        <f t="shared" si="53"/>
        <v/>
      </c>
      <c r="G340" s="85" t="str">
        <f t="shared" si="54"/>
        <v/>
      </c>
      <c r="H340" s="122"/>
      <c r="I340" s="122"/>
      <c r="J340" s="122"/>
      <c r="K340" s="135"/>
      <c r="L340" s="134"/>
      <c r="M340" s="134"/>
      <c r="N340" s="135"/>
      <c r="O340" s="266"/>
      <c r="P340" s="89"/>
      <c r="R340" t="str">
        <f t="shared" si="55"/>
        <v/>
      </c>
      <c r="S340" t="str">
        <f t="shared" si="56"/>
        <v/>
      </c>
      <c r="T340" t="str">
        <f t="shared" si="57"/>
        <v/>
      </c>
      <c r="AD340" t="s">
        <v>1396</v>
      </c>
      <c r="AE340" t="s">
        <v>1397</v>
      </c>
      <c r="AF340" t="str">
        <f t="shared" si="58"/>
        <v>A679077</v>
      </c>
      <c r="AG340" t="str">
        <f>VLOOKUP(AF340,AKT!$C$4:$E$324,3,FALSE)</f>
        <v>0942</v>
      </c>
    </row>
    <row r="341" spans="1:33">
      <c r="A341" s="90"/>
      <c r="B341" s="85" t="str">
        <f t="shared" si="51"/>
        <v/>
      </c>
      <c r="C341" s="90"/>
      <c r="D341" s="85" t="str">
        <f t="shared" si="52"/>
        <v/>
      </c>
      <c r="E341" s="123"/>
      <c r="F341" s="85" t="str">
        <f t="shared" si="53"/>
        <v/>
      </c>
      <c r="G341" s="85" t="str">
        <f t="shared" si="54"/>
        <v/>
      </c>
      <c r="H341" s="122"/>
      <c r="I341" s="122"/>
      <c r="J341" s="122"/>
      <c r="K341" s="135"/>
      <c r="L341" s="134"/>
      <c r="M341" s="134"/>
      <c r="N341" s="135"/>
      <c r="O341" s="266"/>
      <c r="P341" s="89"/>
      <c r="R341" t="str">
        <f t="shared" si="55"/>
        <v/>
      </c>
      <c r="S341" t="str">
        <f t="shared" si="56"/>
        <v/>
      </c>
      <c r="T341" t="str">
        <f t="shared" si="57"/>
        <v/>
      </c>
      <c r="AD341" t="s">
        <v>1398</v>
      </c>
      <c r="AE341" t="s">
        <v>1399</v>
      </c>
      <c r="AF341" t="str">
        <f t="shared" si="58"/>
        <v>A679077</v>
      </c>
      <c r="AG341" t="str">
        <f>VLOOKUP(AF341,AKT!$C$4:$E$324,3,FALSE)</f>
        <v>0942</v>
      </c>
    </row>
    <row r="342" spans="1:33">
      <c r="A342" s="90"/>
      <c r="B342" s="85" t="str">
        <f t="shared" si="51"/>
        <v/>
      </c>
      <c r="C342" s="90"/>
      <c r="D342" s="85" t="str">
        <f t="shared" si="52"/>
        <v/>
      </c>
      <c r="E342" s="123"/>
      <c r="F342" s="85" t="str">
        <f t="shared" si="53"/>
        <v/>
      </c>
      <c r="G342" s="85" t="str">
        <f t="shared" si="54"/>
        <v/>
      </c>
      <c r="H342" s="122"/>
      <c r="I342" s="122"/>
      <c r="J342" s="122"/>
      <c r="K342" s="135"/>
      <c r="L342" s="134"/>
      <c r="M342" s="134"/>
      <c r="N342" s="135"/>
      <c r="O342" s="266"/>
      <c r="P342" s="89"/>
      <c r="R342" t="str">
        <f t="shared" si="55"/>
        <v/>
      </c>
      <c r="S342" t="str">
        <f t="shared" si="56"/>
        <v/>
      </c>
      <c r="T342" t="str">
        <f t="shared" si="57"/>
        <v/>
      </c>
      <c r="AD342" t="s">
        <v>1400</v>
      </c>
      <c r="AE342" t="s">
        <v>1401</v>
      </c>
      <c r="AF342" t="str">
        <f t="shared" si="58"/>
        <v>A679077</v>
      </c>
      <c r="AG342" t="str">
        <f>VLOOKUP(AF342,AKT!$C$4:$E$324,3,FALSE)</f>
        <v>0942</v>
      </c>
    </row>
    <row r="343" spans="1:33">
      <c r="A343" s="90"/>
      <c r="B343" s="85" t="str">
        <f t="shared" si="51"/>
        <v/>
      </c>
      <c r="C343" s="90"/>
      <c r="D343" s="85" t="str">
        <f t="shared" si="52"/>
        <v/>
      </c>
      <c r="E343" s="123"/>
      <c r="F343" s="85" t="str">
        <f t="shared" si="53"/>
        <v/>
      </c>
      <c r="G343" s="85" t="str">
        <f t="shared" si="54"/>
        <v/>
      </c>
      <c r="H343" s="122"/>
      <c r="I343" s="122"/>
      <c r="J343" s="122"/>
      <c r="K343" s="135"/>
      <c r="L343" s="134"/>
      <c r="M343" s="134"/>
      <c r="N343" s="135"/>
      <c r="O343" s="266"/>
      <c r="P343" s="89"/>
      <c r="R343" t="str">
        <f t="shared" si="55"/>
        <v/>
      </c>
      <c r="S343" t="str">
        <f t="shared" si="56"/>
        <v/>
      </c>
      <c r="T343" t="str">
        <f t="shared" si="57"/>
        <v/>
      </c>
      <c r="AD343" t="s">
        <v>1402</v>
      </c>
      <c r="AE343" t="s">
        <v>1403</v>
      </c>
      <c r="AF343" t="str">
        <f t="shared" si="58"/>
        <v>A679077</v>
      </c>
      <c r="AG343" t="str">
        <f>VLOOKUP(AF343,AKT!$C$4:$E$324,3,FALSE)</f>
        <v>0942</v>
      </c>
    </row>
    <row r="344" spans="1:33">
      <c r="A344" s="90"/>
      <c r="B344" s="85" t="str">
        <f t="shared" si="51"/>
        <v/>
      </c>
      <c r="C344" s="90"/>
      <c r="D344" s="85" t="str">
        <f t="shared" si="52"/>
        <v/>
      </c>
      <c r="E344" s="123"/>
      <c r="F344" s="85" t="str">
        <f t="shared" si="53"/>
        <v/>
      </c>
      <c r="G344" s="85" t="str">
        <f t="shared" si="54"/>
        <v/>
      </c>
      <c r="H344" s="122"/>
      <c r="I344" s="122"/>
      <c r="J344" s="122"/>
      <c r="K344" s="135"/>
      <c r="L344" s="134"/>
      <c r="M344" s="134"/>
      <c r="N344" s="135"/>
      <c r="O344" s="266"/>
      <c r="P344" s="89"/>
      <c r="R344" t="str">
        <f t="shared" si="55"/>
        <v/>
      </c>
      <c r="S344" t="str">
        <f t="shared" si="56"/>
        <v/>
      </c>
      <c r="T344" t="str">
        <f t="shared" si="57"/>
        <v/>
      </c>
      <c r="AD344" t="s">
        <v>1404</v>
      </c>
      <c r="AE344" t="s">
        <v>1405</v>
      </c>
      <c r="AF344" t="str">
        <f t="shared" si="58"/>
        <v>A679077</v>
      </c>
      <c r="AG344" t="str">
        <f>VLOOKUP(AF344,AKT!$C$4:$E$324,3,FALSE)</f>
        <v>0942</v>
      </c>
    </row>
    <row r="345" spans="1:33">
      <c r="A345" s="90"/>
      <c r="B345" s="85" t="str">
        <f t="shared" si="51"/>
        <v/>
      </c>
      <c r="C345" s="90"/>
      <c r="D345" s="85" t="str">
        <f t="shared" si="52"/>
        <v/>
      </c>
      <c r="E345" s="123"/>
      <c r="F345" s="85" t="str">
        <f t="shared" si="53"/>
        <v/>
      </c>
      <c r="G345" s="85" t="str">
        <f t="shared" si="54"/>
        <v/>
      </c>
      <c r="H345" s="122"/>
      <c r="I345" s="122"/>
      <c r="J345" s="122"/>
      <c r="K345" s="135"/>
      <c r="L345" s="134"/>
      <c r="M345" s="134"/>
      <c r="N345" s="135"/>
      <c r="O345" s="266"/>
      <c r="P345" s="89"/>
      <c r="R345" t="str">
        <f t="shared" si="55"/>
        <v/>
      </c>
      <c r="S345" t="str">
        <f t="shared" si="56"/>
        <v/>
      </c>
      <c r="T345" t="str">
        <f t="shared" si="57"/>
        <v/>
      </c>
      <c r="AD345" t="s">
        <v>1406</v>
      </c>
      <c r="AE345" t="s">
        <v>1407</v>
      </c>
      <c r="AF345" t="str">
        <f t="shared" si="58"/>
        <v>A679077</v>
      </c>
      <c r="AG345" t="str">
        <f>VLOOKUP(AF345,AKT!$C$4:$E$324,3,FALSE)</f>
        <v>0942</v>
      </c>
    </row>
    <row r="346" spans="1:33">
      <c r="A346" s="90"/>
      <c r="B346" s="85" t="str">
        <f t="shared" si="51"/>
        <v/>
      </c>
      <c r="C346" s="90"/>
      <c r="D346" s="85" t="str">
        <f t="shared" si="52"/>
        <v/>
      </c>
      <c r="E346" s="123"/>
      <c r="F346" s="85" t="str">
        <f t="shared" si="53"/>
        <v/>
      </c>
      <c r="G346" s="85" t="str">
        <f t="shared" si="54"/>
        <v/>
      </c>
      <c r="H346" s="122"/>
      <c r="I346" s="122"/>
      <c r="J346" s="122"/>
      <c r="K346" s="135"/>
      <c r="L346" s="134"/>
      <c r="M346" s="134"/>
      <c r="N346" s="135"/>
      <c r="O346" s="266"/>
      <c r="P346" s="89"/>
      <c r="R346" t="str">
        <f t="shared" si="55"/>
        <v/>
      </c>
      <c r="S346" t="str">
        <f t="shared" si="56"/>
        <v/>
      </c>
      <c r="T346" t="str">
        <f t="shared" si="57"/>
        <v/>
      </c>
      <c r="AD346" t="s">
        <v>1408</v>
      </c>
      <c r="AE346" t="s">
        <v>1409</v>
      </c>
      <c r="AF346" t="str">
        <f t="shared" si="58"/>
        <v>A679077</v>
      </c>
      <c r="AG346" t="str">
        <f>VLOOKUP(AF346,AKT!$C$4:$E$324,3,FALSE)</f>
        <v>0942</v>
      </c>
    </row>
    <row r="347" spans="1:33">
      <c r="A347" s="90"/>
      <c r="B347" s="85" t="str">
        <f t="shared" si="51"/>
        <v/>
      </c>
      <c r="C347" s="90"/>
      <c r="D347" s="85" t="str">
        <f t="shared" si="52"/>
        <v/>
      </c>
      <c r="E347" s="123"/>
      <c r="F347" s="85" t="str">
        <f t="shared" si="53"/>
        <v/>
      </c>
      <c r="G347" s="85" t="str">
        <f t="shared" si="54"/>
        <v/>
      </c>
      <c r="H347" s="122"/>
      <c r="I347" s="122"/>
      <c r="J347" s="122"/>
      <c r="K347" s="135"/>
      <c r="L347" s="134"/>
      <c r="M347" s="134"/>
      <c r="N347" s="135"/>
      <c r="O347" s="266"/>
      <c r="P347" s="89"/>
      <c r="R347" t="str">
        <f t="shared" si="55"/>
        <v/>
      </c>
      <c r="S347" t="str">
        <f t="shared" si="56"/>
        <v/>
      </c>
      <c r="T347" t="str">
        <f t="shared" si="57"/>
        <v/>
      </c>
      <c r="AD347" t="s">
        <v>1410</v>
      </c>
      <c r="AE347" t="s">
        <v>1411</v>
      </c>
      <c r="AF347" t="str">
        <f t="shared" si="58"/>
        <v>A679077</v>
      </c>
      <c r="AG347" t="str">
        <f>VLOOKUP(AF347,AKT!$C$4:$E$324,3,FALSE)</f>
        <v>0942</v>
      </c>
    </row>
    <row r="348" spans="1:33">
      <c r="A348" s="90"/>
      <c r="B348" s="85" t="str">
        <f t="shared" si="51"/>
        <v/>
      </c>
      <c r="C348" s="90"/>
      <c r="D348" s="85" t="str">
        <f t="shared" si="52"/>
        <v/>
      </c>
      <c r="E348" s="123"/>
      <c r="F348" s="85" t="str">
        <f t="shared" si="53"/>
        <v/>
      </c>
      <c r="G348" s="85" t="str">
        <f t="shared" si="54"/>
        <v/>
      </c>
      <c r="H348" s="122"/>
      <c r="I348" s="122"/>
      <c r="J348" s="122"/>
      <c r="K348" s="135"/>
      <c r="L348" s="134"/>
      <c r="M348" s="134"/>
      <c r="N348" s="135"/>
      <c r="O348" s="266"/>
      <c r="P348" s="89"/>
      <c r="R348" t="str">
        <f t="shared" si="55"/>
        <v/>
      </c>
      <c r="S348" t="str">
        <f t="shared" si="56"/>
        <v/>
      </c>
      <c r="T348" t="str">
        <f t="shared" si="57"/>
        <v/>
      </c>
      <c r="AD348" t="s">
        <v>1412</v>
      </c>
      <c r="AE348" t="s">
        <v>1413</v>
      </c>
      <c r="AF348" t="str">
        <f t="shared" si="58"/>
        <v>A679077</v>
      </c>
      <c r="AG348" t="str">
        <f>VLOOKUP(AF348,AKT!$C$4:$E$324,3,FALSE)</f>
        <v>0942</v>
      </c>
    </row>
    <row r="349" spans="1:33">
      <c r="A349" s="90"/>
      <c r="B349" s="85" t="str">
        <f t="shared" si="51"/>
        <v/>
      </c>
      <c r="C349" s="90"/>
      <c r="D349" s="85" t="str">
        <f t="shared" si="52"/>
        <v/>
      </c>
      <c r="E349" s="123"/>
      <c r="F349" s="85" t="str">
        <f t="shared" si="53"/>
        <v/>
      </c>
      <c r="G349" s="85" t="str">
        <f t="shared" si="54"/>
        <v/>
      </c>
      <c r="H349" s="122"/>
      <c r="I349" s="122"/>
      <c r="J349" s="122"/>
      <c r="K349" s="135"/>
      <c r="L349" s="134"/>
      <c r="M349" s="134"/>
      <c r="N349" s="135"/>
      <c r="O349" s="266"/>
      <c r="P349" s="89"/>
      <c r="R349" t="str">
        <f t="shared" si="55"/>
        <v/>
      </c>
      <c r="S349" t="str">
        <f t="shared" si="56"/>
        <v/>
      </c>
      <c r="T349" t="str">
        <f t="shared" si="57"/>
        <v/>
      </c>
      <c r="AD349" t="s">
        <v>1414</v>
      </c>
      <c r="AE349" t="s">
        <v>1415</v>
      </c>
      <c r="AF349" t="str">
        <f t="shared" si="58"/>
        <v>A679077</v>
      </c>
      <c r="AG349" t="str">
        <f>VLOOKUP(AF349,AKT!$C$4:$E$324,3,FALSE)</f>
        <v>0942</v>
      </c>
    </row>
    <row r="350" spans="1:33">
      <c r="A350" s="90"/>
      <c r="B350" s="85" t="str">
        <f t="shared" si="51"/>
        <v/>
      </c>
      <c r="C350" s="90"/>
      <c r="D350" s="85" t="str">
        <f t="shared" si="52"/>
        <v/>
      </c>
      <c r="E350" s="123"/>
      <c r="F350" s="85" t="str">
        <f t="shared" si="53"/>
        <v/>
      </c>
      <c r="G350" s="85" t="str">
        <f t="shared" si="54"/>
        <v/>
      </c>
      <c r="H350" s="122"/>
      <c r="I350" s="122"/>
      <c r="J350" s="122"/>
      <c r="K350" s="135"/>
      <c r="L350" s="134"/>
      <c r="M350" s="134"/>
      <c r="N350" s="135"/>
      <c r="O350" s="266"/>
      <c r="P350" s="89"/>
      <c r="R350" t="str">
        <f t="shared" si="55"/>
        <v/>
      </c>
      <c r="S350" t="str">
        <f t="shared" si="56"/>
        <v/>
      </c>
      <c r="T350" t="str">
        <f t="shared" si="57"/>
        <v/>
      </c>
      <c r="AD350" t="s">
        <v>2250</v>
      </c>
      <c r="AE350" t="s">
        <v>2251</v>
      </c>
      <c r="AF350" t="str">
        <f t="shared" si="58"/>
        <v>A679077</v>
      </c>
      <c r="AG350" t="str">
        <f>VLOOKUP(AF350,AKT!$C$4:$E$324,3,FALSE)</f>
        <v>0942</v>
      </c>
    </row>
    <row r="351" spans="1:33">
      <c r="A351" s="90"/>
      <c r="B351" s="85" t="str">
        <f t="shared" si="51"/>
        <v/>
      </c>
      <c r="C351" s="90"/>
      <c r="D351" s="85" t="str">
        <f t="shared" si="52"/>
        <v/>
      </c>
      <c r="E351" s="123"/>
      <c r="F351" s="85" t="str">
        <f t="shared" si="53"/>
        <v/>
      </c>
      <c r="G351" s="85" t="str">
        <f t="shared" si="54"/>
        <v/>
      </c>
      <c r="H351" s="122"/>
      <c r="I351" s="122"/>
      <c r="J351" s="122"/>
      <c r="K351" s="135"/>
      <c r="L351" s="134"/>
      <c r="M351" s="134"/>
      <c r="N351" s="135"/>
      <c r="O351" s="266"/>
      <c r="P351" s="89"/>
      <c r="R351" t="str">
        <f t="shared" si="55"/>
        <v/>
      </c>
      <c r="S351" t="str">
        <f t="shared" si="56"/>
        <v/>
      </c>
      <c r="T351" t="str">
        <f t="shared" si="57"/>
        <v/>
      </c>
      <c r="AD351" t="s">
        <v>2252</v>
      </c>
      <c r="AE351" t="s">
        <v>2253</v>
      </c>
      <c r="AF351" t="str">
        <f t="shared" si="58"/>
        <v>A679077</v>
      </c>
      <c r="AG351" t="str">
        <f>VLOOKUP(AF351,AKT!$C$4:$E$324,3,FALSE)</f>
        <v>0942</v>
      </c>
    </row>
    <row r="352" spans="1:33">
      <c r="A352" s="90"/>
      <c r="B352" s="85" t="str">
        <f t="shared" si="51"/>
        <v/>
      </c>
      <c r="C352" s="90"/>
      <c r="D352" s="85" t="str">
        <f t="shared" si="52"/>
        <v/>
      </c>
      <c r="E352" s="123"/>
      <c r="F352" s="85" t="str">
        <f t="shared" si="53"/>
        <v/>
      </c>
      <c r="G352" s="85" t="str">
        <f t="shared" si="54"/>
        <v/>
      </c>
      <c r="H352" s="122"/>
      <c r="I352" s="122"/>
      <c r="J352" s="122"/>
      <c r="K352" s="135"/>
      <c r="L352" s="134"/>
      <c r="M352" s="134"/>
      <c r="N352" s="135"/>
      <c r="O352" s="266"/>
      <c r="P352" s="89"/>
      <c r="R352" t="str">
        <f t="shared" si="55"/>
        <v/>
      </c>
      <c r="S352" t="str">
        <f t="shared" si="56"/>
        <v/>
      </c>
      <c r="T352" t="str">
        <f t="shared" si="57"/>
        <v/>
      </c>
      <c r="AD352" t="s">
        <v>2254</v>
      </c>
      <c r="AE352" t="s">
        <v>2255</v>
      </c>
      <c r="AF352" t="str">
        <f t="shared" si="58"/>
        <v>A679077</v>
      </c>
      <c r="AG352" t="str">
        <f>VLOOKUP(AF352,AKT!$C$4:$E$324,3,FALSE)</f>
        <v>0942</v>
      </c>
    </row>
    <row r="353" spans="1:33">
      <c r="A353" s="90"/>
      <c r="B353" s="85" t="str">
        <f t="shared" si="51"/>
        <v/>
      </c>
      <c r="C353" s="90"/>
      <c r="D353" s="85" t="str">
        <f t="shared" si="52"/>
        <v/>
      </c>
      <c r="E353" s="123"/>
      <c r="F353" s="85" t="str">
        <f t="shared" si="53"/>
        <v/>
      </c>
      <c r="G353" s="85" t="str">
        <f t="shared" si="54"/>
        <v/>
      </c>
      <c r="H353" s="122"/>
      <c r="I353" s="122"/>
      <c r="J353" s="122"/>
      <c r="K353" s="135"/>
      <c r="L353" s="134"/>
      <c r="M353" s="134"/>
      <c r="N353" s="135"/>
      <c r="O353" s="266"/>
      <c r="P353" s="89"/>
      <c r="R353" t="str">
        <f t="shared" si="55"/>
        <v/>
      </c>
      <c r="S353" t="str">
        <f t="shared" si="56"/>
        <v/>
      </c>
      <c r="T353" t="str">
        <f t="shared" si="57"/>
        <v/>
      </c>
      <c r="AD353" t="s">
        <v>2256</v>
      </c>
      <c r="AE353" t="s">
        <v>2257</v>
      </c>
      <c r="AF353" t="str">
        <f t="shared" si="58"/>
        <v>A679077</v>
      </c>
      <c r="AG353" t="str">
        <f>VLOOKUP(AF353,AKT!$C$4:$E$324,3,FALSE)</f>
        <v>0942</v>
      </c>
    </row>
    <row r="354" spans="1:33">
      <c r="A354" s="90"/>
      <c r="B354" s="85" t="str">
        <f t="shared" si="51"/>
        <v/>
      </c>
      <c r="C354" s="90"/>
      <c r="D354" s="85" t="str">
        <f t="shared" si="52"/>
        <v/>
      </c>
      <c r="E354" s="123"/>
      <c r="F354" s="85" t="str">
        <f t="shared" si="53"/>
        <v/>
      </c>
      <c r="G354" s="85" t="str">
        <f t="shared" si="54"/>
        <v/>
      </c>
      <c r="H354" s="122"/>
      <c r="I354" s="122"/>
      <c r="J354" s="122"/>
      <c r="K354" s="135"/>
      <c r="L354" s="134"/>
      <c r="M354" s="134"/>
      <c r="N354" s="135"/>
      <c r="O354" s="266"/>
      <c r="P354" s="89"/>
      <c r="R354" t="str">
        <f t="shared" si="55"/>
        <v/>
      </c>
      <c r="S354" t="str">
        <f t="shared" si="56"/>
        <v/>
      </c>
      <c r="T354" t="str">
        <f t="shared" si="57"/>
        <v/>
      </c>
      <c r="AD354" t="s">
        <v>2258</v>
      </c>
      <c r="AE354" t="s">
        <v>2259</v>
      </c>
      <c r="AF354" t="str">
        <f t="shared" si="58"/>
        <v>A679077</v>
      </c>
      <c r="AG354" t="str">
        <f>VLOOKUP(AF354,AKT!$C$4:$E$324,3,FALSE)</f>
        <v>0942</v>
      </c>
    </row>
    <row r="355" spans="1:33">
      <c r="A355" s="90"/>
      <c r="B355" s="85" t="str">
        <f t="shared" si="51"/>
        <v/>
      </c>
      <c r="C355" s="90"/>
      <c r="D355" s="85" t="str">
        <f t="shared" si="52"/>
        <v/>
      </c>
      <c r="E355" s="123"/>
      <c r="F355" s="85" t="str">
        <f t="shared" si="53"/>
        <v/>
      </c>
      <c r="G355" s="85" t="str">
        <f t="shared" si="54"/>
        <v/>
      </c>
      <c r="H355" s="122"/>
      <c r="I355" s="122"/>
      <c r="J355" s="122"/>
      <c r="K355" s="135"/>
      <c r="L355" s="134"/>
      <c r="M355" s="134"/>
      <c r="N355" s="135"/>
      <c r="O355" s="266"/>
      <c r="P355" s="89"/>
      <c r="R355" t="str">
        <f t="shared" si="55"/>
        <v/>
      </c>
      <c r="S355" t="str">
        <f t="shared" si="56"/>
        <v/>
      </c>
      <c r="T355" t="str">
        <f t="shared" si="57"/>
        <v/>
      </c>
      <c r="AD355" t="s">
        <v>2260</v>
      </c>
      <c r="AE355" t="s">
        <v>2261</v>
      </c>
      <c r="AF355" t="str">
        <f t="shared" si="58"/>
        <v>A679077</v>
      </c>
      <c r="AG355" t="str">
        <f>VLOOKUP(AF355,AKT!$C$4:$E$324,3,FALSE)</f>
        <v>0942</v>
      </c>
    </row>
    <row r="356" spans="1:33">
      <c r="A356" s="90"/>
      <c r="B356" s="85" t="str">
        <f t="shared" si="51"/>
        <v/>
      </c>
      <c r="C356" s="90"/>
      <c r="D356" s="85" t="str">
        <f t="shared" si="52"/>
        <v/>
      </c>
      <c r="E356" s="123"/>
      <c r="F356" s="85" t="str">
        <f t="shared" si="53"/>
        <v/>
      </c>
      <c r="G356" s="85" t="str">
        <f t="shared" si="54"/>
        <v/>
      </c>
      <c r="H356" s="122"/>
      <c r="I356" s="122"/>
      <c r="J356" s="122"/>
      <c r="K356" s="135"/>
      <c r="L356" s="134"/>
      <c r="M356" s="134"/>
      <c r="N356" s="135"/>
      <c r="O356" s="266"/>
      <c r="P356" s="89"/>
      <c r="R356" t="str">
        <f t="shared" si="55"/>
        <v/>
      </c>
      <c r="S356" t="str">
        <f t="shared" si="56"/>
        <v/>
      </c>
      <c r="T356" t="str">
        <f t="shared" si="57"/>
        <v/>
      </c>
      <c r="AD356" t="s">
        <v>2262</v>
      </c>
      <c r="AE356" t="s">
        <v>2263</v>
      </c>
      <c r="AF356" t="str">
        <f t="shared" si="58"/>
        <v>A679077</v>
      </c>
      <c r="AG356" t="str">
        <f>VLOOKUP(AF356,AKT!$C$4:$E$324,3,FALSE)</f>
        <v>0942</v>
      </c>
    </row>
    <row r="357" spans="1:33">
      <c r="A357" s="90"/>
      <c r="B357" s="85" t="str">
        <f t="shared" si="51"/>
        <v/>
      </c>
      <c r="C357" s="90"/>
      <c r="D357" s="85" t="str">
        <f t="shared" si="52"/>
        <v/>
      </c>
      <c r="E357" s="123"/>
      <c r="F357" s="85" t="str">
        <f t="shared" si="53"/>
        <v/>
      </c>
      <c r="G357" s="85" t="str">
        <f t="shared" si="54"/>
        <v/>
      </c>
      <c r="H357" s="122"/>
      <c r="I357" s="122"/>
      <c r="J357" s="122"/>
      <c r="K357" s="135"/>
      <c r="L357" s="134"/>
      <c r="M357" s="134"/>
      <c r="N357" s="135"/>
      <c r="O357" s="266"/>
      <c r="P357" s="89"/>
      <c r="R357" t="str">
        <f t="shared" si="55"/>
        <v/>
      </c>
      <c r="S357" t="str">
        <f t="shared" si="56"/>
        <v/>
      </c>
      <c r="T357" t="str">
        <f t="shared" si="57"/>
        <v/>
      </c>
      <c r="AD357" t="s">
        <v>2264</v>
      </c>
      <c r="AE357" t="s">
        <v>2265</v>
      </c>
      <c r="AF357" t="str">
        <f t="shared" si="58"/>
        <v>A679077</v>
      </c>
      <c r="AG357" t="str">
        <f>VLOOKUP(AF357,AKT!$C$4:$E$324,3,FALSE)</f>
        <v>0942</v>
      </c>
    </row>
    <row r="358" spans="1:33">
      <c r="A358" s="90"/>
      <c r="B358" s="85" t="str">
        <f t="shared" si="51"/>
        <v/>
      </c>
      <c r="C358" s="90"/>
      <c r="D358" s="85" t="str">
        <f t="shared" si="52"/>
        <v/>
      </c>
      <c r="E358" s="123"/>
      <c r="F358" s="85" t="str">
        <f t="shared" si="53"/>
        <v/>
      </c>
      <c r="G358" s="85" t="str">
        <f t="shared" si="54"/>
        <v/>
      </c>
      <c r="H358" s="122"/>
      <c r="I358" s="122"/>
      <c r="J358" s="122"/>
      <c r="K358" s="135"/>
      <c r="L358" s="134"/>
      <c r="M358" s="134"/>
      <c r="N358" s="135"/>
      <c r="O358" s="266"/>
      <c r="P358" s="89"/>
      <c r="R358" t="str">
        <f t="shared" si="55"/>
        <v/>
      </c>
      <c r="S358" t="str">
        <f t="shared" si="56"/>
        <v/>
      </c>
      <c r="T358" t="str">
        <f t="shared" si="57"/>
        <v/>
      </c>
      <c r="AD358" t="s">
        <v>2266</v>
      </c>
      <c r="AE358" t="s">
        <v>2267</v>
      </c>
      <c r="AF358" t="str">
        <f t="shared" si="58"/>
        <v>A679077</v>
      </c>
      <c r="AG358" t="str">
        <f>VLOOKUP(AF358,AKT!$C$4:$E$324,3,FALSE)</f>
        <v>0942</v>
      </c>
    </row>
    <row r="359" spans="1:33">
      <c r="A359" s="90"/>
      <c r="B359" s="85" t="str">
        <f t="shared" si="51"/>
        <v/>
      </c>
      <c r="C359" s="90"/>
      <c r="D359" s="85" t="str">
        <f t="shared" si="52"/>
        <v/>
      </c>
      <c r="E359" s="123"/>
      <c r="F359" s="85" t="str">
        <f t="shared" si="53"/>
        <v/>
      </c>
      <c r="G359" s="85" t="str">
        <f t="shared" si="54"/>
        <v/>
      </c>
      <c r="H359" s="122"/>
      <c r="I359" s="122"/>
      <c r="J359" s="122"/>
      <c r="K359" s="135"/>
      <c r="L359" s="134"/>
      <c r="M359" s="134"/>
      <c r="N359" s="135"/>
      <c r="O359" s="266"/>
      <c r="P359" s="89"/>
      <c r="R359" t="str">
        <f t="shared" si="55"/>
        <v/>
      </c>
      <c r="S359" t="str">
        <f t="shared" si="56"/>
        <v/>
      </c>
      <c r="T359" t="str">
        <f t="shared" si="57"/>
        <v/>
      </c>
      <c r="AD359" t="s">
        <v>2268</v>
      </c>
      <c r="AE359" t="s">
        <v>2269</v>
      </c>
      <c r="AF359" t="str">
        <f t="shared" si="58"/>
        <v>A679077</v>
      </c>
      <c r="AG359" t="str">
        <f>VLOOKUP(AF359,AKT!$C$4:$E$324,3,FALSE)</f>
        <v>0942</v>
      </c>
    </row>
    <row r="360" spans="1:33">
      <c r="A360" s="90"/>
      <c r="B360" s="85" t="str">
        <f t="shared" si="51"/>
        <v/>
      </c>
      <c r="C360" s="90"/>
      <c r="D360" s="85" t="str">
        <f t="shared" si="52"/>
        <v/>
      </c>
      <c r="E360" s="123"/>
      <c r="F360" s="85" t="str">
        <f t="shared" si="53"/>
        <v/>
      </c>
      <c r="G360" s="85" t="str">
        <f t="shared" si="54"/>
        <v/>
      </c>
      <c r="H360" s="122"/>
      <c r="I360" s="122"/>
      <c r="J360" s="122"/>
      <c r="K360" s="135"/>
      <c r="L360" s="134"/>
      <c r="M360" s="134"/>
      <c r="N360" s="135"/>
      <c r="O360" s="266"/>
      <c r="P360" s="89"/>
      <c r="R360" t="str">
        <f t="shared" si="55"/>
        <v/>
      </c>
      <c r="S360" t="str">
        <f t="shared" si="56"/>
        <v/>
      </c>
      <c r="T360" t="str">
        <f t="shared" si="57"/>
        <v/>
      </c>
      <c r="AD360" t="s">
        <v>2270</v>
      </c>
      <c r="AE360" t="s">
        <v>2271</v>
      </c>
      <c r="AF360" t="str">
        <f t="shared" si="58"/>
        <v>A679077</v>
      </c>
      <c r="AG360" t="str">
        <f>VLOOKUP(AF360,AKT!$C$4:$E$324,3,FALSE)</f>
        <v>0942</v>
      </c>
    </row>
    <row r="361" spans="1:33">
      <c r="A361" s="90"/>
      <c r="B361" s="85" t="str">
        <f t="shared" si="51"/>
        <v/>
      </c>
      <c r="C361" s="90"/>
      <c r="D361" s="85" t="str">
        <f t="shared" si="52"/>
        <v/>
      </c>
      <c r="E361" s="123"/>
      <c r="F361" s="85" t="str">
        <f t="shared" si="53"/>
        <v/>
      </c>
      <c r="G361" s="85" t="str">
        <f t="shared" si="54"/>
        <v/>
      </c>
      <c r="H361" s="122"/>
      <c r="I361" s="122"/>
      <c r="J361" s="122"/>
      <c r="K361" s="135"/>
      <c r="L361" s="134"/>
      <c r="M361" s="134"/>
      <c r="N361" s="135"/>
      <c r="O361" s="266"/>
      <c r="P361" s="89"/>
      <c r="R361" t="str">
        <f t="shared" si="55"/>
        <v/>
      </c>
      <c r="S361" t="str">
        <f t="shared" si="56"/>
        <v/>
      </c>
      <c r="T361" t="str">
        <f t="shared" si="57"/>
        <v/>
      </c>
      <c r="AD361" t="s">
        <v>2272</v>
      </c>
      <c r="AE361" t="s">
        <v>2273</v>
      </c>
      <c r="AF361" t="str">
        <f t="shared" si="58"/>
        <v>A679077</v>
      </c>
      <c r="AG361" t="str">
        <f>VLOOKUP(AF361,AKT!$C$4:$E$324,3,FALSE)</f>
        <v>0942</v>
      </c>
    </row>
    <row r="362" spans="1:33">
      <c r="A362" s="90"/>
      <c r="B362" s="85" t="str">
        <f t="shared" si="51"/>
        <v/>
      </c>
      <c r="C362" s="90"/>
      <c r="D362" s="85" t="str">
        <f t="shared" si="52"/>
        <v/>
      </c>
      <c r="E362" s="123"/>
      <c r="F362" s="85" t="str">
        <f t="shared" si="53"/>
        <v/>
      </c>
      <c r="G362" s="85" t="str">
        <f t="shared" si="54"/>
        <v/>
      </c>
      <c r="H362" s="122"/>
      <c r="I362" s="122"/>
      <c r="J362" s="122"/>
      <c r="K362" s="135"/>
      <c r="L362" s="134"/>
      <c r="M362" s="134"/>
      <c r="N362" s="135"/>
      <c r="O362" s="266"/>
      <c r="P362" s="89"/>
      <c r="R362" t="str">
        <f t="shared" si="55"/>
        <v/>
      </c>
      <c r="S362" t="str">
        <f t="shared" si="56"/>
        <v/>
      </c>
      <c r="T362" t="str">
        <f t="shared" si="57"/>
        <v/>
      </c>
      <c r="AD362" t="s">
        <v>2274</v>
      </c>
      <c r="AE362" t="s">
        <v>2275</v>
      </c>
      <c r="AF362" t="str">
        <f t="shared" si="58"/>
        <v>A679077</v>
      </c>
      <c r="AG362" t="str">
        <f>VLOOKUP(AF362,AKT!$C$4:$E$324,3,FALSE)</f>
        <v>0942</v>
      </c>
    </row>
    <row r="363" spans="1:33">
      <c r="A363" s="90"/>
      <c r="B363" s="85" t="str">
        <f t="shared" si="51"/>
        <v/>
      </c>
      <c r="C363" s="90"/>
      <c r="D363" s="85" t="str">
        <f t="shared" si="52"/>
        <v/>
      </c>
      <c r="E363" s="123"/>
      <c r="F363" s="85" t="str">
        <f t="shared" si="53"/>
        <v/>
      </c>
      <c r="G363" s="85" t="str">
        <f t="shared" si="54"/>
        <v/>
      </c>
      <c r="H363" s="122"/>
      <c r="I363" s="122"/>
      <c r="J363" s="122"/>
      <c r="K363" s="135"/>
      <c r="L363" s="134"/>
      <c r="M363" s="134"/>
      <c r="N363" s="135"/>
      <c r="O363" s="266"/>
      <c r="P363" s="89"/>
      <c r="R363" t="str">
        <f t="shared" si="55"/>
        <v/>
      </c>
      <c r="S363" t="str">
        <f t="shared" si="56"/>
        <v/>
      </c>
      <c r="T363" t="str">
        <f t="shared" si="57"/>
        <v/>
      </c>
      <c r="AD363" t="s">
        <v>2276</v>
      </c>
      <c r="AE363" t="s">
        <v>2277</v>
      </c>
      <c r="AF363" t="str">
        <f t="shared" si="58"/>
        <v>A679077</v>
      </c>
      <c r="AG363" t="str">
        <f>VLOOKUP(AF363,AKT!$C$4:$E$324,3,FALSE)</f>
        <v>0942</v>
      </c>
    </row>
    <row r="364" spans="1:33">
      <c r="A364" s="90"/>
      <c r="B364" s="85" t="str">
        <f t="shared" si="51"/>
        <v/>
      </c>
      <c r="C364" s="90"/>
      <c r="D364" s="85" t="str">
        <f t="shared" si="52"/>
        <v/>
      </c>
      <c r="E364" s="123"/>
      <c r="F364" s="85" t="str">
        <f t="shared" si="53"/>
        <v/>
      </c>
      <c r="G364" s="85" t="str">
        <f t="shared" si="54"/>
        <v/>
      </c>
      <c r="H364" s="122"/>
      <c r="I364" s="122"/>
      <c r="J364" s="122"/>
      <c r="K364" s="135"/>
      <c r="L364" s="134"/>
      <c r="M364" s="134"/>
      <c r="N364" s="135"/>
      <c r="O364" s="266"/>
      <c r="P364" s="89"/>
      <c r="R364" t="str">
        <f t="shared" si="55"/>
        <v/>
      </c>
      <c r="S364" t="str">
        <f t="shared" si="56"/>
        <v/>
      </c>
      <c r="T364" t="str">
        <f t="shared" si="57"/>
        <v/>
      </c>
      <c r="AD364" t="s">
        <v>2278</v>
      </c>
      <c r="AE364" t="s">
        <v>2279</v>
      </c>
      <c r="AF364" t="str">
        <f t="shared" si="58"/>
        <v>A679077</v>
      </c>
      <c r="AG364" t="str">
        <f>VLOOKUP(AF364,AKT!$C$4:$E$324,3,FALSE)</f>
        <v>0942</v>
      </c>
    </row>
    <row r="365" spans="1:33">
      <c r="A365" s="90"/>
      <c r="B365" s="85" t="str">
        <f t="shared" si="51"/>
        <v/>
      </c>
      <c r="C365" s="90"/>
      <c r="D365" s="85" t="str">
        <f t="shared" si="52"/>
        <v/>
      </c>
      <c r="E365" s="123"/>
      <c r="F365" s="85" t="str">
        <f t="shared" si="53"/>
        <v/>
      </c>
      <c r="G365" s="85" t="str">
        <f t="shared" si="54"/>
        <v/>
      </c>
      <c r="H365" s="122"/>
      <c r="I365" s="122"/>
      <c r="J365" s="122"/>
      <c r="K365" s="135"/>
      <c r="L365" s="134"/>
      <c r="M365" s="134"/>
      <c r="N365" s="135"/>
      <c r="O365" s="266"/>
      <c r="P365" s="89"/>
      <c r="R365" t="str">
        <f t="shared" si="55"/>
        <v/>
      </c>
      <c r="S365" t="str">
        <f t="shared" si="56"/>
        <v/>
      </c>
      <c r="T365" t="str">
        <f t="shared" si="57"/>
        <v/>
      </c>
      <c r="AD365" t="s">
        <v>2280</v>
      </c>
      <c r="AE365" t="s">
        <v>2281</v>
      </c>
      <c r="AF365" t="str">
        <f t="shared" si="58"/>
        <v>A679077</v>
      </c>
      <c r="AG365" t="str">
        <f>VLOOKUP(AF365,AKT!$C$4:$E$324,3,FALSE)</f>
        <v>0942</v>
      </c>
    </row>
    <row r="366" spans="1:33">
      <c r="A366" s="90"/>
      <c r="B366" s="85" t="str">
        <f t="shared" si="51"/>
        <v/>
      </c>
      <c r="C366" s="90"/>
      <c r="D366" s="85" t="str">
        <f t="shared" si="52"/>
        <v/>
      </c>
      <c r="E366" s="123"/>
      <c r="F366" s="85" t="str">
        <f t="shared" si="53"/>
        <v/>
      </c>
      <c r="G366" s="85" t="str">
        <f t="shared" si="54"/>
        <v/>
      </c>
      <c r="H366" s="122"/>
      <c r="I366" s="122"/>
      <c r="J366" s="122"/>
      <c r="K366" s="135"/>
      <c r="L366" s="134"/>
      <c r="M366" s="134"/>
      <c r="N366" s="135"/>
      <c r="O366" s="266"/>
      <c r="P366" s="89"/>
      <c r="R366" t="str">
        <f t="shared" si="55"/>
        <v/>
      </c>
      <c r="S366" t="str">
        <f t="shared" si="56"/>
        <v/>
      </c>
      <c r="T366" t="str">
        <f t="shared" si="57"/>
        <v/>
      </c>
      <c r="AD366" t="s">
        <v>2282</v>
      </c>
      <c r="AE366" t="s">
        <v>2283</v>
      </c>
      <c r="AF366" t="str">
        <f t="shared" si="58"/>
        <v>A679077</v>
      </c>
      <c r="AG366" t="str">
        <f>VLOOKUP(AF366,AKT!$C$4:$E$324,3,FALSE)</f>
        <v>0942</v>
      </c>
    </row>
    <row r="367" spans="1:33">
      <c r="A367" s="90"/>
      <c r="B367" s="85" t="str">
        <f t="shared" si="51"/>
        <v/>
      </c>
      <c r="C367" s="90"/>
      <c r="D367" s="85" t="str">
        <f t="shared" si="52"/>
        <v/>
      </c>
      <c r="E367" s="123"/>
      <c r="F367" s="85" t="str">
        <f t="shared" si="53"/>
        <v/>
      </c>
      <c r="G367" s="85" t="str">
        <f t="shared" si="54"/>
        <v/>
      </c>
      <c r="H367" s="122"/>
      <c r="I367" s="122"/>
      <c r="J367" s="122"/>
      <c r="K367" s="135"/>
      <c r="L367" s="134"/>
      <c r="M367" s="134"/>
      <c r="N367" s="135"/>
      <c r="O367" s="266"/>
      <c r="P367" s="89"/>
      <c r="R367" t="str">
        <f t="shared" si="55"/>
        <v/>
      </c>
      <c r="S367" t="str">
        <f t="shared" si="56"/>
        <v/>
      </c>
      <c r="T367" t="str">
        <f t="shared" si="57"/>
        <v/>
      </c>
      <c r="AD367" t="s">
        <v>2284</v>
      </c>
      <c r="AE367" t="s">
        <v>2285</v>
      </c>
      <c r="AF367" t="str">
        <f t="shared" si="58"/>
        <v>A679077</v>
      </c>
      <c r="AG367" t="str">
        <f>VLOOKUP(AF367,AKT!$C$4:$E$324,3,FALSE)</f>
        <v>0942</v>
      </c>
    </row>
    <row r="368" spans="1:33">
      <c r="A368" s="90"/>
      <c r="B368" s="85" t="str">
        <f t="shared" si="51"/>
        <v/>
      </c>
      <c r="C368" s="90"/>
      <c r="D368" s="85" t="str">
        <f t="shared" si="52"/>
        <v/>
      </c>
      <c r="E368" s="123"/>
      <c r="F368" s="85" t="str">
        <f t="shared" si="53"/>
        <v/>
      </c>
      <c r="G368" s="85" t="str">
        <f t="shared" si="54"/>
        <v/>
      </c>
      <c r="H368" s="122"/>
      <c r="I368" s="122"/>
      <c r="J368" s="122"/>
      <c r="K368" s="135"/>
      <c r="L368" s="134"/>
      <c r="M368" s="134"/>
      <c r="N368" s="135"/>
      <c r="O368" s="266"/>
      <c r="P368" s="89"/>
      <c r="R368" t="str">
        <f t="shared" si="55"/>
        <v/>
      </c>
      <c r="S368" t="str">
        <f t="shared" si="56"/>
        <v/>
      </c>
      <c r="T368" t="str">
        <f t="shared" si="57"/>
        <v/>
      </c>
      <c r="AD368" t="s">
        <v>2286</v>
      </c>
      <c r="AE368" t="s">
        <v>2287</v>
      </c>
      <c r="AF368" t="str">
        <f t="shared" si="58"/>
        <v>A679077</v>
      </c>
      <c r="AG368" t="str">
        <f>VLOOKUP(AF368,AKT!$C$4:$E$324,3,FALSE)</f>
        <v>0942</v>
      </c>
    </row>
    <row r="369" spans="1:33">
      <c r="A369" s="90"/>
      <c r="B369" s="85" t="str">
        <f t="shared" si="51"/>
        <v/>
      </c>
      <c r="C369" s="90"/>
      <c r="D369" s="85" t="str">
        <f t="shared" si="52"/>
        <v/>
      </c>
      <c r="E369" s="123"/>
      <c r="F369" s="85" t="str">
        <f t="shared" si="53"/>
        <v/>
      </c>
      <c r="G369" s="85" t="str">
        <f t="shared" si="54"/>
        <v/>
      </c>
      <c r="H369" s="122"/>
      <c r="I369" s="122"/>
      <c r="J369" s="122"/>
      <c r="K369" s="135"/>
      <c r="L369" s="134"/>
      <c r="M369" s="134"/>
      <c r="N369" s="135"/>
      <c r="O369" s="266"/>
      <c r="P369" s="89"/>
      <c r="R369" t="str">
        <f t="shared" si="55"/>
        <v/>
      </c>
      <c r="S369" t="str">
        <f t="shared" si="56"/>
        <v/>
      </c>
      <c r="T369" t="str">
        <f t="shared" si="57"/>
        <v/>
      </c>
      <c r="AD369" t="s">
        <v>2288</v>
      </c>
      <c r="AE369" t="s">
        <v>2289</v>
      </c>
      <c r="AF369" t="str">
        <f t="shared" si="58"/>
        <v>A679077</v>
      </c>
      <c r="AG369" t="str">
        <f>VLOOKUP(AF369,AKT!$C$4:$E$324,3,FALSE)</f>
        <v>0942</v>
      </c>
    </row>
    <row r="370" spans="1:33">
      <c r="A370" s="90"/>
      <c r="B370" s="85" t="str">
        <f t="shared" si="51"/>
        <v/>
      </c>
      <c r="C370" s="90"/>
      <c r="D370" s="85" t="str">
        <f t="shared" si="52"/>
        <v/>
      </c>
      <c r="E370" s="123"/>
      <c r="F370" s="85" t="str">
        <f t="shared" si="53"/>
        <v/>
      </c>
      <c r="G370" s="85" t="str">
        <f t="shared" si="54"/>
        <v/>
      </c>
      <c r="H370" s="122"/>
      <c r="I370" s="122"/>
      <c r="J370" s="122"/>
      <c r="K370" s="135"/>
      <c r="L370" s="134"/>
      <c r="M370" s="134"/>
      <c r="N370" s="135"/>
      <c r="O370" s="266"/>
      <c r="P370" s="89"/>
      <c r="R370" t="str">
        <f t="shared" si="55"/>
        <v/>
      </c>
      <c r="S370" t="str">
        <f t="shared" si="56"/>
        <v/>
      </c>
      <c r="T370" t="str">
        <f t="shared" si="57"/>
        <v/>
      </c>
      <c r="AD370" t="s">
        <v>2290</v>
      </c>
      <c r="AE370" t="s">
        <v>2291</v>
      </c>
      <c r="AF370" t="str">
        <f t="shared" si="58"/>
        <v>A679077</v>
      </c>
      <c r="AG370" t="str">
        <f>VLOOKUP(AF370,AKT!$C$4:$E$324,3,FALSE)</f>
        <v>0942</v>
      </c>
    </row>
    <row r="371" spans="1:33">
      <c r="A371" s="90"/>
      <c r="B371" s="85" t="str">
        <f t="shared" si="51"/>
        <v/>
      </c>
      <c r="C371" s="90"/>
      <c r="D371" s="85" t="str">
        <f t="shared" si="52"/>
        <v/>
      </c>
      <c r="E371" s="123"/>
      <c r="F371" s="85" t="str">
        <f t="shared" si="53"/>
        <v/>
      </c>
      <c r="G371" s="85" t="str">
        <f t="shared" si="54"/>
        <v/>
      </c>
      <c r="H371" s="122"/>
      <c r="I371" s="122"/>
      <c r="J371" s="122"/>
      <c r="K371" s="135"/>
      <c r="L371" s="134"/>
      <c r="M371" s="134"/>
      <c r="N371" s="135"/>
      <c r="O371" s="266"/>
      <c r="P371" s="89"/>
      <c r="R371" t="str">
        <f t="shared" si="55"/>
        <v/>
      </c>
      <c r="S371" t="str">
        <f t="shared" si="56"/>
        <v/>
      </c>
      <c r="T371" t="str">
        <f t="shared" si="57"/>
        <v/>
      </c>
      <c r="AD371" t="s">
        <v>2292</v>
      </c>
      <c r="AE371" t="s">
        <v>2293</v>
      </c>
      <c r="AF371" t="str">
        <f t="shared" si="58"/>
        <v>A679077</v>
      </c>
      <c r="AG371" t="str">
        <f>VLOOKUP(AF371,AKT!$C$4:$E$324,3,FALSE)</f>
        <v>0942</v>
      </c>
    </row>
    <row r="372" spans="1:33">
      <c r="A372" s="90"/>
      <c r="B372" s="85" t="str">
        <f t="shared" si="51"/>
        <v/>
      </c>
      <c r="C372" s="90"/>
      <c r="D372" s="85" t="str">
        <f t="shared" si="52"/>
        <v/>
      </c>
      <c r="E372" s="123"/>
      <c r="F372" s="85" t="str">
        <f t="shared" si="53"/>
        <v/>
      </c>
      <c r="G372" s="85" t="str">
        <f t="shared" si="54"/>
        <v/>
      </c>
      <c r="H372" s="122"/>
      <c r="I372" s="122"/>
      <c r="J372" s="122"/>
      <c r="K372" s="135"/>
      <c r="L372" s="134"/>
      <c r="M372" s="134"/>
      <c r="N372" s="135"/>
      <c r="O372" s="266"/>
      <c r="P372" s="89"/>
      <c r="R372" t="str">
        <f t="shared" si="55"/>
        <v/>
      </c>
      <c r="S372" t="str">
        <f t="shared" si="56"/>
        <v/>
      </c>
      <c r="T372" t="str">
        <f t="shared" si="57"/>
        <v/>
      </c>
      <c r="AD372" t="s">
        <v>2294</v>
      </c>
      <c r="AE372" t="s">
        <v>2295</v>
      </c>
      <c r="AF372" t="str">
        <f t="shared" si="58"/>
        <v>A679077</v>
      </c>
      <c r="AG372" t="str">
        <f>VLOOKUP(AF372,AKT!$C$4:$E$324,3,FALSE)</f>
        <v>0942</v>
      </c>
    </row>
    <row r="373" spans="1:33">
      <c r="A373" s="90"/>
      <c r="B373" s="85" t="str">
        <f t="shared" si="51"/>
        <v/>
      </c>
      <c r="C373" s="90"/>
      <c r="D373" s="85" t="str">
        <f t="shared" si="52"/>
        <v/>
      </c>
      <c r="E373" s="123"/>
      <c r="F373" s="85" t="str">
        <f t="shared" si="53"/>
        <v/>
      </c>
      <c r="G373" s="85" t="str">
        <f t="shared" si="54"/>
        <v/>
      </c>
      <c r="H373" s="122"/>
      <c r="I373" s="122"/>
      <c r="J373" s="122"/>
      <c r="K373" s="135"/>
      <c r="L373" s="134"/>
      <c r="M373" s="134"/>
      <c r="N373" s="135"/>
      <c r="O373" s="266"/>
      <c r="P373" s="89"/>
      <c r="R373" t="str">
        <f t="shared" si="55"/>
        <v/>
      </c>
      <c r="S373" t="str">
        <f t="shared" si="56"/>
        <v/>
      </c>
      <c r="T373" t="str">
        <f t="shared" si="57"/>
        <v/>
      </c>
      <c r="AD373" t="s">
        <v>2296</v>
      </c>
      <c r="AE373" t="s">
        <v>2297</v>
      </c>
      <c r="AF373" t="str">
        <f t="shared" si="58"/>
        <v>A679077</v>
      </c>
      <c r="AG373" t="str">
        <f>VLOOKUP(AF373,AKT!$C$4:$E$324,3,FALSE)</f>
        <v>0942</v>
      </c>
    </row>
    <row r="374" spans="1:33">
      <c r="A374" s="90"/>
      <c r="B374" s="85" t="str">
        <f t="shared" si="51"/>
        <v/>
      </c>
      <c r="C374" s="90"/>
      <c r="D374" s="85" t="str">
        <f t="shared" si="52"/>
        <v/>
      </c>
      <c r="E374" s="123"/>
      <c r="F374" s="85" t="str">
        <f t="shared" si="53"/>
        <v/>
      </c>
      <c r="G374" s="85" t="str">
        <f t="shared" si="54"/>
        <v/>
      </c>
      <c r="H374" s="122"/>
      <c r="I374" s="122"/>
      <c r="J374" s="122"/>
      <c r="K374" s="135"/>
      <c r="L374" s="134"/>
      <c r="M374" s="134"/>
      <c r="N374" s="135"/>
      <c r="O374" s="266"/>
      <c r="P374" s="89"/>
      <c r="R374" t="str">
        <f t="shared" si="55"/>
        <v/>
      </c>
      <c r="S374" t="str">
        <f t="shared" si="56"/>
        <v/>
      </c>
      <c r="T374" t="str">
        <f t="shared" si="57"/>
        <v/>
      </c>
      <c r="AD374" t="s">
        <v>2298</v>
      </c>
      <c r="AE374" t="s">
        <v>2299</v>
      </c>
      <c r="AF374" t="str">
        <f t="shared" si="58"/>
        <v>A679077</v>
      </c>
      <c r="AG374" t="str">
        <f>VLOOKUP(AF374,AKT!$C$4:$E$324,3,FALSE)</f>
        <v>0942</v>
      </c>
    </row>
    <row r="375" spans="1:33">
      <c r="A375" s="90"/>
      <c r="B375" s="85" t="str">
        <f t="shared" si="51"/>
        <v/>
      </c>
      <c r="C375" s="90"/>
      <c r="D375" s="85" t="str">
        <f t="shared" si="52"/>
        <v/>
      </c>
      <c r="E375" s="123"/>
      <c r="F375" s="85" t="str">
        <f t="shared" si="53"/>
        <v/>
      </c>
      <c r="G375" s="85" t="str">
        <f t="shared" si="54"/>
        <v/>
      </c>
      <c r="H375" s="122"/>
      <c r="I375" s="122"/>
      <c r="J375" s="122"/>
      <c r="K375" s="135"/>
      <c r="L375" s="134"/>
      <c r="M375" s="134"/>
      <c r="N375" s="135"/>
      <c r="O375" s="266"/>
      <c r="P375" s="89"/>
      <c r="R375" t="str">
        <f t="shared" si="55"/>
        <v/>
      </c>
      <c r="S375" t="str">
        <f t="shared" si="56"/>
        <v/>
      </c>
      <c r="T375" t="str">
        <f t="shared" si="57"/>
        <v/>
      </c>
      <c r="AD375" t="s">
        <v>2300</v>
      </c>
      <c r="AE375" t="s">
        <v>2301</v>
      </c>
      <c r="AF375" t="str">
        <f t="shared" si="58"/>
        <v>A679077</v>
      </c>
      <c r="AG375" t="str">
        <f>VLOOKUP(AF375,AKT!$C$4:$E$324,3,FALSE)</f>
        <v>0942</v>
      </c>
    </row>
    <row r="376" spans="1:33">
      <c r="A376" s="90"/>
      <c r="B376" s="85" t="str">
        <f t="shared" si="51"/>
        <v/>
      </c>
      <c r="C376" s="90"/>
      <c r="D376" s="85" t="str">
        <f t="shared" si="52"/>
        <v/>
      </c>
      <c r="E376" s="123"/>
      <c r="F376" s="85" t="str">
        <f t="shared" si="53"/>
        <v/>
      </c>
      <c r="G376" s="85" t="str">
        <f t="shared" si="54"/>
        <v/>
      </c>
      <c r="H376" s="122"/>
      <c r="I376" s="122"/>
      <c r="J376" s="122"/>
      <c r="K376" s="135"/>
      <c r="L376" s="134"/>
      <c r="M376" s="134"/>
      <c r="N376" s="135"/>
      <c r="O376" s="266"/>
      <c r="P376" s="89"/>
      <c r="R376" t="str">
        <f t="shared" si="55"/>
        <v/>
      </c>
      <c r="S376" t="str">
        <f t="shared" si="56"/>
        <v/>
      </c>
      <c r="T376" t="str">
        <f t="shared" si="57"/>
        <v/>
      </c>
      <c r="AD376" t="s">
        <v>2302</v>
      </c>
      <c r="AE376" t="s">
        <v>2303</v>
      </c>
      <c r="AF376" t="str">
        <f t="shared" si="58"/>
        <v>A679077</v>
      </c>
      <c r="AG376" t="str">
        <f>VLOOKUP(AF376,AKT!$C$4:$E$324,3,FALSE)</f>
        <v>0942</v>
      </c>
    </row>
    <row r="377" spans="1:33">
      <c r="A377" s="90"/>
      <c r="B377" s="85" t="str">
        <f t="shared" si="51"/>
        <v/>
      </c>
      <c r="C377" s="90"/>
      <c r="D377" s="85" t="str">
        <f t="shared" si="52"/>
        <v/>
      </c>
      <c r="E377" s="123"/>
      <c r="F377" s="85" t="str">
        <f t="shared" si="53"/>
        <v/>
      </c>
      <c r="G377" s="85" t="str">
        <f t="shared" si="54"/>
        <v/>
      </c>
      <c r="H377" s="122"/>
      <c r="I377" s="122"/>
      <c r="J377" s="122"/>
      <c r="K377" s="135"/>
      <c r="L377" s="134"/>
      <c r="M377" s="134"/>
      <c r="N377" s="135"/>
      <c r="O377" s="266"/>
      <c r="P377" s="89"/>
      <c r="R377" t="str">
        <f t="shared" si="55"/>
        <v/>
      </c>
      <c r="S377" t="str">
        <f t="shared" si="56"/>
        <v/>
      </c>
      <c r="T377" t="str">
        <f t="shared" si="57"/>
        <v/>
      </c>
      <c r="AD377" t="s">
        <v>2304</v>
      </c>
      <c r="AE377" t="s">
        <v>2305</v>
      </c>
      <c r="AF377" t="str">
        <f t="shared" si="58"/>
        <v>A679077</v>
      </c>
      <c r="AG377" t="str">
        <f>VLOOKUP(AF377,AKT!$C$4:$E$324,3,FALSE)</f>
        <v>0942</v>
      </c>
    </row>
    <row r="378" spans="1:33">
      <c r="A378" s="90"/>
      <c r="B378" s="85" t="str">
        <f t="shared" si="51"/>
        <v/>
      </c>
      <c r="C378" s="90"/>
      <c r="D378" s="85" t="str">
        <f t="shared" si="52"/>
        <v/>
      </c>
      <c r="E378" s="123"/>
      <c r="F378" s="85" t="str">
        <f t="shared" si="53"/>
        <v/>
      </c>
      <c r="G378" s="85" t="str">
        <f t="shared" si="54"/>
        <v/>
      </c>
      <c r="H378" s="122"/>
      <c r="I378" s="122"/>
      <c r="J378" s="122"/>
      <c r="K378" s="135"/>
      <c r="L378" s="134"/>
      <c r="M378" s="134"/>
      <c r="N378" s="135"/>
      <c r="O378" s="266"/>
      <c r="P378" s="89"/>
      <c r="R378" t="str">
        <f t="shared" si="55"/>
        <v/>
      </c>
      <c r="S378" t="str">
        <f t="shared" si="56"/>
        <v/>
      </c>
      <c r="T378" t="str">
        <f t="shared" si="57"/>
        <v/>
      </c>
      <c r="AD378" t="s">
        <v>2306</v>
      </c>
      <c r="AE378" t="s">
        <v>2307</v>
      </c>
      <c r="AF378" t="str">
        <f t="shared" si="58"/>
        <v>A679077</v>
      </c>
      <c r="AG378" t="str">
        <f>VLOOKUP(AF378,AKT!$C$4:$E$324,3,FALSE)</f>
        <v>0942</v>
      </c>
    </row>
    <row r="379" spans="1:33">
      <c r="A379" s="90"/>
      <c r="B379" s="85" t="str">
        <f t="shared" si="51"/>
        <v/>
      </c>
      <c r="C379" s="90"/>
      <c r="D379" s="85" t="str">
        <f t="shared" si="52"/>
        <v/>
      </c>
      <c r="E379" s="123"/>
      <c r="F379" s="85" t="str">
        <f t="shared" si="53"/>
        <v/>
      </c>
      <c r="G379" s="85" t="str">
        <f t="shared" si="54"/>
        <v/>
      </c>
      <c r="H379" s="122"/>
      <c r="I379" s="122"/>
      <c r="J379" s="122"/>
      <c r="K379" s="135"/>
      <c r="L379" s="134"/>
      <c r="M379" s="134"/>
      <c r="N379" s="135"/>
      <c r="O379" s="266"/>
      <c r="P379" s="89"/>
      <c r="R379" t="str">
        <f t="shared" si="55"/>
        <v/>
      </c>
      <c r="S379" t="str">
        <f t="shared" si="56"/>
        <v/>
      </c>
      <c r="T379" t="str">
        <f t="shared" si="57"/>
        <v/>
      </c>
      <c r="AD379" t="s">
        <v>2308</v>
      </c>
      <c r="AE379" t="s">
        <v>875</v>
      </c>
      <c r="AF379" t="str">
        <f t="shared" si="58"/>
        <v>A679077</v>
      </c>
      <c r="AG379" t="str">
        <f>VLOOKUP(AF379,AKT!$C$4:$E$324,3,FALSE)</f>
        <v>0942</v>
      </c>
    </row>
    <row r="380" spans="1:33">
      <c r="A380" s="90"/>
      <c r="B380" s="85" t="str">
        <f t="shared" si="51"/>
        <v/>
      </c>
      <c r="C380" s="90"/>
      <c r="D380" s="85" t="str">
        <f t="shared" si="52"/>
        <v/>
      </c>
      <c r="E380" s="123"/>
      <c r="F380" s="85" t="str">
        <f t="shared" si="53"/>
        <v/>
      </c>
      <c r="G380" s="85" t="str">
        <f t="shared" si="54"/>
        <v/>
      </c>
      <c r="H380" s="122"/>
      <c r="I380" s="122"/>
      <c r="J380" s="122"/>
      <c r="K380" s="135"/>
      <c r="L380" s="134"/>
      <c r="M380" s="134"/>
      <c r="N380" s="135"/>
      <c r="O380" s="266"/>
      <c r="P380" s="89"/>
      <c r="R380" t="str">
        <f t="shared" si="55"/>
        <v/>
      </c>
      <c r="S380" t="str">
        <f t="shared" si="56"/>
        <v/>
      </c>
      <c r="T380" t="str">
        <f t="shared" si="57"/>
        <v/>
      </c>
      <c r="AD380" t="s">
        <v>2309</v>
      </c>
      <c r="AE380" t="s">
        <v>1148</v>
      </c>
      <c r="AF380" t="str">
        <f t="shared" si="58"/>
        <v>A679077</v>
      </c>
      <c r="AG380" t="str">
        <f>VLOOKUP(AF380,AKT!$C$4:$E$324,3,FALSE)</f>
        <v>0942</v>
      </c>
    </row>
    <row r="381" spans="1:33">
      <c r="A381" s="90"/>
      <c r="B381" s="85" t="str">
        <f t="shared" si="51"/>
        <v/>
      </c>
      <c r="C381" s="90"/>
      <c r="D381" s="85" t="str">
        <f t="shared" si="52"/>
        <v/>
      </c>
      <c r="E381" s="123"/>
      <c r="F381" s="85" t="str">
        <f t="shared" si="53"/>
        <v/>
      </c>
      <c r="G381" s="85" t="str">
        <f t="shared" si="54"/>
        <v/>
      </c>
      <c r="H381" s="122"/>
      <c r="I381" s="122"/>
      <c r="J381" s="122"/>
      <c r="K381" s="135"/>
      <c r="L381" s="134"/>
      <c r="M381" s="134"/>
      <c r="N381" s="135"/>
      <c r="O381" s="266"/>
      <c r="P381" s="89"/>
      <c r="R381" t="str">
        <f t="shared" si="55"/>
        <v/>
      </c>
      <c r="S381" t="str">
        <f t="shared" si="56"/>
        <v/>
      </c>
      <c r="T381" t="str">
        <f t="shared" si="57"/>
        <v/>
      </c>
      <c r="AD381" t="s">
        <v>2310</v>
      </c>
      <c r="AE381" t="s">
        <v>2311</v>
      </c>
      <c r="AF381" t="str">
        <f t="shared" si="58"/>
        <v>A679077</v>
      </c>
      <c r="AG381" t="str">
        <f>VLOOKUP(AF381,AKT!$C$4:$E$324,3,FALSE)</f>
        <v>0942</v>
      </c>
    </row>
    <row r="382" spans="1:33">
      <c r="A382" s="90"/>
      <c r="B382" s="85" t="str">
        <f t="shared" si="51"/>
        <v/>
      </c>
      <c r="C382" s="90"/>
      <c r="D382" s="85" t="str">
        <f t="shared" si="52"/>
        <v/>
      </c>
      <c r="E382" s="123"/>
      <c r="F382" s="85" t="str">
        <f t="shared" si="53"/>
        <v/>
      </c>
      <c r="G382" s="85" t="str">
        <f t="shared" si="54"/>
        <v/>
      </c>
      <c r="H382" s="122"/>
      <c r="I382" s="122"/>
      <c r="J382" s="122"/>
      <c r="K382" s="135"/>
      <c r="L382" s="134"/>
      <c r="M382" s="134"/>
      <c r="N382" s="135"/>
      <c r="O382" s="266"/>
      <c r="P382" s="89"/>
      <c r="R382" t="str">
        <f t="shared" si="55"/>
        <v/>
      </c>
      <c r="S382" t="str">
        <f t="shared" si="56"/>
        <v/>
      </c>
      <c r="T382" t="str">
        <f t="shared" si="57"/>
        <v/>
      </c>
      <c r="AD382" t="s">
        <v>2312</v>
      </c>
      <c r="AE382" t="s">
        <v>2313</v>
      </c>
      <c r="AF382" t="str">
        <f t="shared" si="58"/>
        <v>A679077</v>
      </c>
      <c r="AG382" t="str">
        <f>VLOOKUP(AF382,AKT!$C$4:$E$324,3,FALSE)</f>
        <v>0942</v>
      </c>
    </row>
    <row r="383" spans="1:33">
      <c r="A383" s="90"/>
      <c r="B383" s="85" t="str">
        <f t="shared" si="51"/>
        <v/>
      </c>
      <c r="C383" s="90"/>
      <c r="D383" s="85" t="str">
        <f t="shared" si="52"/>
        <v/>
      </c>
      <c r="E383" s="123"/>
      <c r="F383" s="85" t="str">
        <f t="shared" si="53"/>
        <v/>
      </c>
      <c r="G383" s="85" t="str">
        <f t="shared" si="54"/>
        <v/>
      </c>
      <c r="H383" s="122"/>
      <c r="I383" s="122"/>
      <c r="J383" s="122"/>
      <c r="K383" s="135"/>
      <c r="L383" s="134"/>
      <c r="M383" s="134"/>
      <c r="N383" s="135"/>
      <c r="O383" s="266"/>
      <c r="P383" s="89"/>
      <c r="R383" t="str">
        <f t="shared" si="55"/>
        <v/>
      </c>
      <c r="S383" t="str">
        <f t="shared" si="56"/>
        <v/>
      </c>
      <c r="T383" t="str">
        <f t="shared" si="57"/>
        <v/>
      </c>
      <c r="AD383" t="s">
        <v>2314</v>
      </c>
      <c r="AE383" t="s">
        <v>2315</v>
      </c>
      <c r="AF383" t="str">
        <f t="shared" si="58"/>
        <v>A679077</v>
      </c>
      <c r="AG383" t="str">
        <f>VLOOKUP(AF383,AKT!$C$4:$E$324,3,FALSE)</f>
        <v>0942</v>
      </c>
    </row>
    <row r="384" spans="1:33">
      <c r="A384" s="90"/>
      <c r="B384" s="85" t="str">
        <f t="shared" si="51"/>
        <v/>
      </c>
      <c r="C384" s="90"/>
      <c r="D384" s="85" t="str">
        <f t="shared" si="52"/>
        <v/>
      </c>
      <c r="E384" s="123"/>
      <c r="F384" s="85" t="str">
        <f t="shared" si="53"/>
        <v/>
      </c>
      <c r="G384" s="85" t="str">
        <f t="shared" si="54"/>
        <v/>
      </c>
      <c r="H384" s="122"/>
      <c r="I384" s="122"/>
      <c r="J384" s="122"/>
      <c r="K384" s="135"/>
      <c r="L384" s="134"/>
      <c r="M384" s="134"/>
      <c r="N384" s="135"/>
      <c r="O384" s="266"/>
      <c r="P384" s="89"/>
      <c r="R384" t="str">
        <f t="shared" si="55"/>
        <v/>
      </c>
      <c r="S384" t="str">
        <f t="shared" si="56"/>
        <v/>
      </c>
      <c r="T384" t="str">
        <f t="shared" si="57"/>
        <v/>
      </c>
      <c r="AD384" t="s">
        <v>2316</v>
      </c>
      <c r="AE384" t="s">
        <v>2317</v>
      </c>
      <c r="AF384" t="str">
        <f t="shared" si="58"/>
        <v>A679077</v>
      </c>
      <c r="AG384" t="str">
        <f>VLOOKUP(AF384,AKT!$C$4:$E$324,3,FALSE)</f>
        <v>0942</v>
      </c>
    </row>
    <row r="385" spans="1:33">
      <c r="A385" s="90"/>
      <c r="B385" s="85" t="str">
        <f t="shared" si="51"/>
        <v/>
      </c>
      <c r="C385" s="90"/>
      <c r="D385" s="85" t="str">
        <f t="shared" si="52"/>
        <v/>
      </c>
      <c r="E385" s="123"/>
      <c r="F385" s="85" t="str">
        <f t="shared" si="53"/>
        <v/>
      </c>
      <c r="G385" s="85" t="str">
        <f t="shared" si="54"/>
        <v/>
      </c>
      <c r="H385" s="122"/>
      <c r="I385" s="122"/>
      <c r="J385" s="122"/>
      <c r="K385" s="135"/>
      <c r="L385" s="134"/>
      <c r="M385" s="134"/>
      <c r="N385" s="135"/>
      <c r="O385" s="266"/>
      <c r="P385" s="89"/>
      <c r="R385" t="str">
        <f t="shared" si="55"/>
        <v/>
      </c>
      <c r="S385" t="str">
        <f t="shared" si="56"/>
        <v/>
      </c>
      <c r="T385" t="str">
        <f t="shared" si="57"/>
        <v/>
      </c>
      <c r="AD385" t="s">
        <v>2318</v>
      </c>
      <c r="AE385" t="s">
        <v>2319</v>
      </c>
      <c r="AF385" t="str">
        <f t="shared" si="58"/>
        <v>A679077</v>
      </c>
      <c r="AG385" t="str">
        <f>VLOOKUP(AF385,AKT!$C$4:$E$324,3,FALSE)</f>
        <v>0942</v>
      </c>
    </row>
    <row r="386" spans="1:33">
      <c r="A386" s="90"/>
      <c r="B386" s="85" t="str">
        <f t="shared" si="51"/>
        <v/>
      </c>
      <c r="C386" s="90"/>
      <c r="D386" s="85" t="str">
        <f t="shared" si="52"/>
        <v/>
      </c>
      <c r="E386" s="123"/>
      <c r="F386" s="85" t="str">
        <f t="shared" si="53"/>
        <v/>
      </c>
      <c r="G386" s="85" t="str">
        <f t="shared" si="54"/>
        <v/>
      </c>
      <c r="H386" s="122"/>
      <c r="I386" s="122"/>
      <c r="J386" s="122"/>
      <c r="K386" s="135"/>
      <c r="L386" s="134"/>
      <c r="M386" s="134"/>
      <c r="N386" s="135"/>
      <c r="O386" s="266"/>
      <c r="P386" s="89"/>
      <c r="R386" t="str">
        <f t="shared" si="55"/>
        <v/>
      </c>
      <c r="S386" t="str">
        <f t="shared" si="56"/>
        <v/>
      </c>
      <c r="T386" t="str">
        <f t="shared" si="57"/>
        <v/>
      </c>
      <c r="AD386" t="s">
        <v>2320</v>
      </c>
      <c r="AE386" t="s">
        <v>2321</v>
      </c>
      <c r="AF386" t="str">
        <f t="shared" si="58"/>
        <v>A679077</v>
      </c>
      <c r="AG386" t="str">
        <f>VLOOKUP(AF386,AKT!$C$4:$E$324,3,FALSE)</f>
        <v>0942</v>
      </c>
    </row>
    <row r="387" spans="1:33">
      <c r="A387" s="90"/>
      <c r="B387" s="85" t="str">
        <f t="shared" si="51"/>
        <v/>
      </c>
      <c r="C387" s="90"/>
      <c r="D387" s="85" t="str">
        <f t="shared" si="52"/>
        <v/>
      </c>
      <c r="E387" s="123"/>
      <c r="F387" s="85" t="str">
        <f t="shared" si="53"/>
        <v/>
      </c>
      <c r="G387" s="85" t="str">
        <f t="shared" si="54"/>
        <v/>
      </c>
      <c r="H387" s="122"/>
      <c r="I387" s="122"/>
      <c r="J387" s="122"/>
      <c r="K387" s="135"/>
      <c r="L387" s="134"/>
      <c r="M387" s="134"/>
      <c r="N387" s="135"/>
      <c r="O387" s="266"/>
      <c r="P387" s="89"/>
      <c r="R387" t="str">
        <f t="shared" si="55"/>
        <v/>
      </c>
      <c r="S387" t="str">
        <f t="shared" si="56"/>
        <v/>
      </c>
      <c r="T387" t="str">
        <f t="shared" si="57"/>
        <v/>
      </c>
      <c r="AD387" t="s">
        <v>2322</v>
      </c>
      <c r="AE387" t="s">
        <v>2323</v>
      </c>
      <c r="AF387" t="str">
        <f t="shared" si="58"/>
        <v>A679077</v>
      </c>
      <c r="AG387" t="str">
        <f>VLOOKUP(AF387,AKT!$C$4:$E$324,3,FALSE)</f>
        <v>0942</v>
      </c>
    </row>
    <row r="388" spans="1:33">
      <c r="A388" s="90"/>
      <c r="B388" s="85" t="str">
        <f t="shared" ref="B388:B451" si="59">IFERROR(VLOOKUP(A388,$U$6:$V$23,2,FALSE),"")</f>
        <v/>
      </c>
      <c r="C388" s="90"/>
      <c r="D388" s="85" t="str">
        <f t="shared" ref="D388:D451" si="60">IFERROR(VLOOKUP(C388,$X$5:$Z$129,2,FALSE),"")</f>
        <v/>
      </c>
      <c r="E388" s="123"/>
      <c r="F388" s="85" t="str">
        <f t="shared" ref="F388:F451" si="61">IFERROR(VLOOKUP(E388,$AD$6:$AE$1090,2,FALSE),"")</f>
        <v/>
      </c>
      <c r="G388" s="85" t="str">
        <f t="shared" ref="G388:G451" si="62">IFERROR(VLOOKUP(E388,$AD$6:$AG$1090,4,FALSE),"")</f>
        <v/>
      </c>
      <c r="H388" s="122"/>
      <c r="I388" s="122"/>
      <c r="J388" s="122"/>
      <c r="K388" s="135"/>
      <c r="L388" s="134"/>
      <c r="M388" s="134"/>
      <c r="N388" s="135"/>
      <c r="O388" s="266"/>
      <c r="P388" s="89"/>
      <c r="R388" t="str">
        <f t="shared" ref="R388:R451" si="63">LEFT(C388,3)</f>
        <v/>
      </c>
      <c r="S388" t="str">
        <f t="shared" ref="S388:S451" si="64">LEFT(C388,2)</f>
        <v/>
      </c>
      <c r="T388" t="str">
        <f t="shared" ref="T388:T451" si="65">MID(G388,2,2)</f>
        <v/>
      </c>
      <c r="AD388" t="s">
        <v>2324</v>
      </c>
      <c r="AE388" t="s">
        <v>2325</v>
      </c>
      <c r="AF388" t="str">
        <f t="shared" si="58"/>
        <v>A679077</v>
      </c>
      <c r="AG388" t="str">
        <f>VLOOKUP(AF388,AKT!$C$4:$E$324,3,FALSE)</f>
        <v>0942</v>
      </c>
    </row>
    <row r="389" spans="1:33">
      <c r="A389" s="90"/>
      <c r="B389" s="85" t="str">
        <f t="shared" si="59"/>
        <v/>
      </c>
      <c r="C389" s="90"/>
      <c r="D389" s="85" t="str">
        <f t="shared" si="60"/>
        <v/>
      </c>
      <c r="E389" s="123"/>
      <c r="F389" s="85" t="str">
        <f t="shared" si="61"/>
        <v/>
      </c>
      <c r="G389" s="85" t="str">
        <f t="shared" si="62"/>
        <v/>
      </c>
      <c r="H389" s="122"/>
      <c r="I389" s="122"/>
      <c r="J389" s="122"/>
      <c r="K389" s="135"/>
      <c r="L389" s="134"/>
      <c r="M389" s="134"/>
      <c r="N389" s="135"/>
      <c r="O389" s="266"/>
      <c r="P389" s="89"/>
      <c r="R389" t="str">
        <f t="shared" si="63"/>
        <v/>
      </c>
      <c r="S389" t="str">
        <f t="shared" si="64"/>
        <v/>
      </c>
      <c r="T389" t="str">
        <f t="shared" si="65"/>
        <v/>
      </c>
      <c r="AD389" t="s">
        <v>2326</v>
      </c>
      <c r="AE389" t="s">
        <v>2327</v>
      </c>
      <c r="AF389" t="str">
        <f t="shared" si="58"/>
        <v>A679077</v>
      </c>
      <c r="AG389" t="str">
        <f>VLOOKUP(AF389,AKT!$C$4:$E$324,3,FALSE)</f>
        <v>0942</v>
      </c>
    </row>
    <row r="390" spans="1:33">
      <c r="A390" s="90"/>
      <c r="B390" s="85" t="str">
        <f t="shared" si="59"/>
        <v/>
      </c>
      <c r="C390" s="90"/>
      <c r="D390" s="85" t="str">
        <f t="shared" si="60"/>
        <v/>
      </c>
      <c r="E390" s="123"/>
      <c r="F390" s="85" t="str">
        <f t="shared" si="61"/>
        <v/>
      </c>
      <c r="G390" s="85" t="str">
        <f t="shared" si="62"/>
        <v/>
      </c>
      <c r="H390" s="122"/>
      <c r="I390" s="122"/>
      <c r="J390" s="122"/>
      <c r="K390" s="135"/>
      <c r="L390" s="134"/>
      <c r="M390" s="134"/>
      <c r="N390" s="135"/>
      <c r="O390" s="266"/>
      <c r="P390" s="89"/>
      <c r="R390" t="str">
        <f t="shared" si="63"/>
        <v/>
      </c>
      <c r="S390" t="str">
        <f t="shared" si="64"/>
        <v/>
      </c>
      <c r="T390" t="str">
        <f t="shared" si="65"/>
        <v/>
      </c>
      <c r="AD390" t="s">
        <v>2328</v>
      </c>
      <c r="AE390" t="s">
        <v>2329</v>
      </c>
      <c r="AF390" t="str">
        <f t="shared" si="58"/>
        <v>A679077</v>
      </c>
      <c r="AG390" t="str">
        <f>VLOOKUP(AF390,AKT!$C$4:$E$324,3,FALSE)</f>
        <v>0942</v>
      </c>
    </row>
    <row r="391" spans="1:33">
      <c r="A391" s="90"/>
      <c r="B391" s="85" t="str">
        <f t="shared" si="59"/>
        <v/>
      </c>
      <c r="C391" s="90"/>
      <c r="D391" s="85" t="str">
        <f t="shared" si="60"/>
        <v/>
      </c>
      <c r="E391" s="123"/>
      <c r="F391" s="85" t="str">
        <f t="shared" si="61"/>
        <v/>
      </c>
      <c r="G391" s="85" t="str">
        <f t="shared" si="62"/>
        <v/>
      </c>
      <c r="H391" s="122"/>
      <c r="I391" s="122"/>
      <c r="J391" s="122"/>
      <c r="K391" s="135"/>
      <c r="L391" s="134"/>
      <c r="M391" s="134"/>
      <c r="N391" s="135"/>
      <c r="O391" s="266"/>
      <c r="P391" s="89"/>
      <c r="R391" t="str">
        <f t="shared" si="63"/>
        <v/>
      </c>
      <c r="S391" t="str">
        <f t="shared" si="64"/>
        <v/>
      </c>
      <c r="T391" t="str">
        <f t="shared" si="65"/>
        <v/>
      </c>
      <c r="AD391" t="s">
        <v>3147</v>
      </c>
      <c r="AE391" t="s">
        <v>3148</v>
      </c>
      <c r="AF391" t="str">
        <f t="shared" si="58"/>
        <v>A679077</v>
      </c>
      <c r="AG391" t="str">
        <f>VLOOKUP(AF391,AKT!$C$4:$E$324,3,FALSE)</f>
        <v>0942</v>
      </c>
    </row>
    <row r="392" spans="1:33">
      <c r="A392" s="90"/>
      <c r="B392" s="85" t="str">
        <f t="shared" si="59"/>
        <v/>
      </c>
      <c r="C392" s="90"/>
      <c r="D392" s="85" t="str">
        <f t="shared" si="60"/>
        <v/>
      </c>
      <c r="E392" s="123"/>
      <c r="F392" s="85" t="str">
        <f t="shared" si="61"/>
        <v/>
      </c>
      <c r="G392" s="85" t="str">
        <f t="shared" si="62"/>
        <v/>
      </c>
      <c r="H392" s="122"/>
      <c r="I392" s="122"/>
      <c r="J392" s="122"/>
      <c r="K392" s="135"/>
      <c r="L392" s="134"/>
      <c r="M392" s="134"/>
      <c r="N392" s="135"/>
      <c r="O392" s="266"/>
      <c r="P392" s="89"/>
      <c r="R392" t="str">
        <f t="shared" si="63"/>
        <v/>
      </c>
      <c r="S392" t="str">
        <f t="shared" si="64"/>
        <v/>
      </c>
      <c r="T392" t="str">
        <f t="shared" si="65"/>
        <v/>
      </c>
      <c r="AD392" t="s">
        <v>3149</v>
      </c>
      <c r="AE392" t="s">
        <v>3150</v>
      </c>
      <c r="AF392" t="str">
        <f t="shared" ref="AF392:AF455" si="66">LEFT(AD392,7)</f>
        <v>A679077</v>
      </c>
      <c r="AG392" t="str">
        <f>VLOOKUP(AF392,AKT!$C$4:$E$324,3,FALSE)</f>
        <v>0942</v>
      </c>
    </row>
    <row r="393" spans="1:33">
      <c r="A393" s="90"/>
      <c r="B393" s="85" t="str">
        <f t="shared" si="59"/>
        <v/>
      </c>
      <c r="C393" s="90"/>
      <c r="D393" s="85" t="str">
        <f t="shared" si="60"/>
        <v/>
      </c>
      <c r="E393" s="123"/>
      <c r="F393" s="85" t="str">
        <f t="shared" si="61"/>
        <v/>
      </c>
      <c r="G393" s="85" t="str">
        <f t="shared" si="62"/>
        <v/>
      </c>
      <c r="H393" s="122"/>
      <c r="I393" s="122"/>
      <c r="J393" s="122"/>
      <c r="K393" s="135"/>
      <c r="L393" s="134"/>
      <c r="M393" s="134"/>
      <c r="N393" s="135"/>
      <c r="O393" s="266"/>
      <c r="P393" s="89"/>
      <c r="R393" t="str">
        <f t="shared" si="63"/>
        <v/>
      </c>
      <c r="S393" t="str">
        <f t="shared" si="64"/>
        <v/>
      </c>
      <c r="T393" t="str">
        <f t="shared" si="65"/>
        <v/>
      </c>
      <c r="AD393" t="s">
        <v>3151</v>
      </c>
      <c r="AE393" t="s">
        <v>3152</v>
      </c>
      <c r="AF393" t="str">
        <f t="shared" si="66"/>
        <v>A679077</v>
      </c>
      <c r="AG393" t="str">
        <f>VLOOKUP(AF393,AKT!$C$4:$E$324,3,FALSE)</f>
        <v>0942</v>
      </c>
    </row>
    <row r="394" spans="1:33">
      <c r="A394" s="90"/>
      <c r="B394" s="85" t="str">
        <f t="shared" si="59"/>
        <v/>
      </c>
      <c r="C394" s="90"/>
      <c r="D394" s="85" t="str">
        <f t="shared" si="60"/>
        <v/>
      </c>
      <c r="E394" s="123"/>
      <c r="F394" s="85" t="str">
        <f t="shared" si="61"/>
        <v/>
      </c>
      <c r="G394" s="85" t="str">
        <f t="shared" si="62"/>
        <v/>
      </c>
      <c r="H394" s="122"/>
      <c r="I394" s="122"/>
      <c r="J394" s="122"/>
      <c r="K394" s="135"/>
      <c r="L394" s="134"/>
      <c r="M394" s="134"/>
      <c r="N394" s="135"/>
      <c r="O394" s="266"/>
      <c r="P394" s="89"/>
      <c r="R394" t="str">
        <f t="shared" si="63"/>
        <v/>
      </c>
      <c r="S394" t="str">
        <f t="shared" si="64"/>
        <v/>
      </c>
      <c r="T394" t="str">
        <f t="shared" si="65"/>
        <v/>
      </c>
      <c r="AD394" t="s">
        <v>3153</v>
      </c>
      <c r="AE394" t="s">
        <v>3154</v>
      </c>
      <c r="AF394" t="str">
        <f t="shared" si="66"/>
        <v>A679077</v>
      </c>
      <c r="AG394" t="str">
        <f>VLOOKUP(AF394,AKT!$C$4:$E$324,3,FALSE)</f>
        <v>0942</v>
      </c>
    </row>
    <row r="395" spans="1:33">
      <c r="A395" s="90"/>
      <c r="B395" s="85" t="str">
        <f t="shared" si="59"/>
        <v/>
      </c>
      <c r="C395" s="90"/>
      <c r="D395" s="85" t="str">
        <f t="shared" si="60"/>
        <v/>
      </c>
      <c r="E395" s="123"/>
      <c r="F395" s="85" t="str">
        <f t="shared" si="61"/>
        <v/>
      </c>
      <c r="G395" s="85" t="str">
        <f t="shared" si="62"/>
        <v/>
      </c>
      <c r="H395" s="122"/>
      <c r="I395" s="122"/>
      <c r="J395" s="122"/>
      <c r="K395" s="135"/>
      <c r="L395" s="134"/>
      <c r="M395" s="134"/>
      <c r="N395" s="135"/>
      <c r="O395" s="266"/>
      <c r="P395" s="89"/>
      <c r="R395" t="str">
        <f t="shared" si="63"/>
        <v/>
      </c>
      <c r="S395" t="str">
        <f t="shared" si="64"/>
        <v/>
      </c>
      <c r="T395" t="str">
        <f t="shared" si="65"/>
        <v/>
      </c>
      <c r="AD395" t="s">
        <v>3155</v>
      </c>
      <c r="AE395" t="s">
        <v>3156</v>
      </c>
      <c r="AF395" t="str">
        <f t="shared" si="66"/>
        <v>A679077</v>
      </c>
      <c r="AG395" t="str">
        <f>VLOOKUP(AF395,AKT!$C$4:$E$324,3,FALSE)</f>
        <v>0942</v>
      </c>
    </row>
    <row r="396" spans="1:33">
      <c r="A396" s="90"/>
      <c r="B396" s="85" t="str">
        <f t="shared" si="59"/>
        <v/>
      </c>
      <c r="C396" s="90"/>
      <c r="D396" s="85" t="str">
        <f t="shared" si="60"/>
        <v/>
      </c>
      <c r="E396" s="123"/>
      <c r="F396" s="85" t="str">
        <f t="shared" si="61"/>
        <v/>
      </c>
      <c r="G396" s="85" t="str">
        <f t="shared" si="62"/>
        <v/>
      </c>
      <c r="H396" s="122"/>
      <c r="I396" s="122"/>
      <c r="J396" s="122"/>
      <c r="K396" s="135"/>
      <c r="L396" s="134"/>
      <c r="M396" s="134"/>
      <c r="N396" s="135"/>
      <c r="O396" s="266"/>
      <c r="P396" s="89"/>
      <c r="R396" t="str">
        <f t="shared" si="63"/>
        <v/>
      </c>
      <c r="S396" t="str">
        <f t="shared" si="64"/>
        <v/>
      </c>
      <c r="T396" t="str">
        <f t="shared" si="65"/>
        <v/>
      </c>
      <c r="AD396" t="s">
        <v>3157</v>
      </c>
      <c r="AE396" t="s">
        <v>3158</v>
      </c>
      <c r="AF396" t="str">
        <f t="shared" si="66"/>
        <v>A679077</v>
      </c>
      <c r="AG396" t="str">
        <f>VLOOKUP(AF396,AKT!$C$4:$E$324,3,FALSE)</f>
        <v>0942</v>
      </c>
    </row>
    <row r="397" spans="1:33">
      <c r="A397" s="90"/>
      <c r="B397" s="85" t="str">
        <f t="shared" si="59"/>
        <v/>
      </c>
      <c r="C397" s="90"/>
      <c r="D397" s="85" t="str">
        <f t="shared" si="60"/>
        <v/>
      </c>
      <c r="E397" s="123"/>
      <c r="F397" s="85" t="str">
        <f t="shared" si="61"/>
        <v/>
      </c>
      <c r="G397" s="85" t="str">
        <f t="shared" si="62"/>
        <v/>
      </c>
      <c r="H397" s="122"/>
      <c r="I397" s="122"/>
      <c r="J397" s="122"/>
      <c r="K397" s="135"/>
      <c r="L397" s="134"/>
      <c r="M397" s="134"/>
      <c r="N397" s="135"/>
      <c r="O397" s="266"/>
      <c r="P397" s="89"/>
      <c r="R397" t="str">
        <f t="shared" si="63"/>
        <v/>
      </c>
      <c r="S397" t="str">
        <f t="shared" si="64"/>
        <v/>
      </c>
      <c r="T397" t="str">
        <f t="shared" si="65"/>
        <v/>
      </c>
      <c r="AD397" t="s">
        <v>3159</v>
      </c>
      <c r="AE397" t="s">
        <v>3160</v>
      </c>
      <c r="AF397" t="str">
        <f t="shared" si="66"/>
        <v>A679077</v>
      </c>
      <c r="AG397" t="str">
        <f>VLOOKUP(AF397,AKT!$C$4:$E$324,3,FALSE)</f>
        <v>0942</v>
      </c>
    </row>
    <row r="398" spans="1:33">
      <c r="A398" s="90"/>
      <c r="B398" s="85" t="str">
        <f t="shared" si="59"/>
        <v/>
      </c>
      <c r="C398" s="90"/>
      <c r="D398" s="85" t="str">
        <f t="shared" si="60"/>
        <v/>
      </c>
      <c r="E398" s="123"/>
      <c r="F398" s="85" t="str">
        <f t="shared" si="61"/>
        <v/>
      </c>
      <c r="G398" s="85" t="str">
        <f t="shared" si="62"/>
        <v/>
      </c>
      <c r="H398" s="122"/>
      <c r="I398" s="122"/>
      <c r="J398" s="122"/>
      <c r="K398" s="135"/>
      <c r="L398" s="134"/>
      <c r="M398" s="134"/>
      <c r="N398" s="135"/>
      <c r="O398" s="266"/>
      <c r="P398" s="89"/>
      <c r="R398" t="str">
        <f t="shared" si="63"/>
        <v/>
      </c>
      <c r="S398" t="str">
        <f t="shared" si="64"/>
        <v/>
      </c>
      <c r="T398" t="str">
        <f t="shared" si="65"/>
        <v/>
      </c>
      <c r="AD398" t="s">
        <v>3161</v>
      </c>
      <c r="AE398" t="s">
        <v>3162</v>
      </c>
      <c r="AF398" t="str">
        <f t="shared" si="66"/>
        <v>A679077</v>
      </c>
      <c r="AG398" t="str">
        <f>VLOOKUP(AF398,AKT!$C$4:$E$324,3,FALSE)</f>
        <v>0942</v>
      </c>
    </row>
    <row r="399" spans="1:33">
      <c r="A399" s="90"/>
      <c r="B399" s="85" t="str">
        <f t="shared" si="59"/>
        <v/>
      </c>
      <c r="C399" s="90"/>
      <c r="D399" s="85" t="str">
        <f t="shared" si="60"/>
        <v/>
      </c>
      <c r="E399" s="123"/>
      <c r="F399" s="85" t="str">
        <f t="shared" si="61"/>
        <v/>
      </c>
      <c r="G399" s="85" t="str">
        <f t="shared" si="62"/>
        <v/>
      </c>
      <c r="H399" s="122"/>
      <c r="I399" s="122"/>
      <c r="J399" s="122"/>
      <c r="K399" s="135"/>
      <c r="L399" s="134"/>
      <c r="M399" s="134"/>
      <c r="N399" s="135"/>
      <c r="O399" s="266"/>
      <c r="P399" s="89"/>
      <c r="R399" t="str">
        <f t="shared" si="63"/>
        <v/>
      </c>
      <c r="S399" t="str">
        <f t="shared" si="64"/>
        <v/>
      </c>
      <c r="T399" t="str">
        <f t="shared" si="65"/>
        <v/>
      </c>
      <c r="AD399" t="s">
        <v>3163</v>
      </c>
      <c r="AE399" t="s">
        <v>3164</v>
      </c>
      <c r="AF399" t="str">
        <f t="shared" si="66"/>
        <v>A679077</v>
      </c>
      <c r="AG399" t="str">
        <f>VLOOKUP(AF399,AKT!$C$4:$E$324,3,FALSE)</f>
        <v>0942</v>
      </c>
    </row>
    <row r="400" spans="1:33">
      <c r="A400" s="90"/>
      <c r="B400" s="85" t="str">
        <f t="shared" si="59"/>
        <v/>
      </c>
      <c r="C400" s="90"/>
      <c r="D400" s="85" t="str">
        <f t="shared" si="60"/>
        <v/>
      </c>
      <c r="E400" s="123"/>
      <c r="F400" s="85" t="str">
        <f t="shared" si="61"/>
        <v/>
      </c>
      <c r="G400" s="85" t="str">
        <f t="shared" si="62"/>
        <v/>
      </c>
      <c r="H400" s="122"/>
      <c r="I400" s="122"/>
      <c r="J400" s="122"/>
      <c r="K400" s="135"/>
      <c r="L400" s="134"/>
      <c r="M400" s="134"/>
      <c r="N400" s="135"/>
      <c r="O400" s="266"/>
      <c r="P400" s="89"/>
      <c r="R400" t="str">
        <f t="shared" si="63"/>
        <v/>
      </c>
      <c r="S400" t="str">
        <f t="shared" si="64"/>
        <v/>
      </c>
      <c r="T400" t="str">
        <f t="shared" si="65"/>
        <v/>
      </c>
      <c r="AD400" t="s">
        <v>3165</v>
      </c>
      <c r="AE400" t="s">
        <v>3166</v>
      </c>
      <c r="AF400" t="str">
        <f t="shared" si="66"/>
        <v>A679077</v>
      </c>
      <c r="AG400" t="str">
        <f>VLOOKUP(AF400,AKT!$C$4:$E$324,3,FALSE)</f>
        <v>0942</v>
      </c>
    </row>
    <row r="401" spans="1:33">
      <c r="A401" s="90"/>
      <c r="B401" s="85" t="str">
        <f t="shared" si="59"/>
        <v/>
      </c>
      <c r="C401" s="90"/>
      <c r="D401" s="85" t="str">
        <f t="shared" si="60"/>
        <v/>
      </c>
      <c r="E401" s="123"/>
      <c r="F401" s="85" t="str">
        <f t="shared" si="61"/>
        <v/>
      </c>
      <c r="G401" s="85" t="str">
        <f t="shared" si="62"/>
        <v/>
      </c>
      <c r="H401" s="122"/>
      <c r="I401" s="122"/>
      <c r="J401" s="122"/>
      <c r="K401" s="135"/>
      <c r="L401" s="134"/>
      <c r="M401" s="134"/>
      <c r="N401" s="135"/>
      <c r="O401" s="266"/>
      <c r="P401" s="89"/>
      <c r="R401" t="str">
        <f t="shared" si="63"/>
        <v/>
      </c>
      <c r="S401" t="str">
        <f t="shared" si="64"/>
        <v/>
      </c>
      <c r="T401" t="str">
        <f t="shared" si="65"/>
        <v/>
      </c>
      <c r="AD401" t="s">
        <v>3167</v>
      </c>
      <c r="AE401" t="s">
        <v>3168</v>
      </c>
      <c r="AF401" t="str">
        <f t="shared" si="66"/>
        <v>A679077</v>
      </c>
      <c r="AG401" t="str">
        <f>VLOOKUP(AF401,AKT!$C$4:$E$324,3,FALSE)</f>
        <v>0942</v>
      </c>
    </row>
    <row r="402" spans="1:33">
      <c r="A402" s="90"/>
      <c r="B402" s="85" t="str">
        <f t="shared" si="59"/>
        <v/>
      </c>
      <c r="C402" s="90"/>
      <c r="D402" s="85" t="str">
        <f t="shared" si="60"/>
        <v/>
      </c>
      <c r="E402" s="123"/>
      <c r="F402" s="85" t="str">
        <f t="shared" si="61"/>
        <v/>
      </c>
      <c r="G402" s="85" t="str">
        <f t="shared" si="62"/>
        <v/>
      </c>
      <c r="H402" s="122"/>
      <c r="I402" s="122"/>
      <c r="J402" s="122"/>
      <c r="K402" s="135"/>
      <c r="L402" s="134"/>
      <c r="M402" s="134"/>
      <c r="N402" s="135"/>
      <c r="O402" s="266"/>
      <c r="P402" s="89"/>
      <c r="R402" t="str">
        <f t="shared" si="63"/>
        <v/>
      </c>
      <c r="S402" t="str">
        <f t="shared" si="64"/>
        <v/>
      </c>
      <c r="T402" t="str">
        <f t="shared" si="65"/>
        <v/>
      </c>
      <c r="AD402" t="s">
        <v>3169</v>
      </c>
      <c r="AE402" t="s">
        <v>3170</v>
      </c>
      <c r="AF402" t="str">
        <f t="shared" si="66"/>
        <v>A679077</v>
      </c>
      <c r="AG402" t="str">
        <f>VLOOKUP(AF402,AKT!$C$4:$E$324,3,FALSE)</f>
        <v>0942</v>
      </c>
    </row>
    <row r="403" spans="1:33">
      <c r="A403" s="90"/>
      <c r="B403" s="85" t="str">
        <f t="shared" si="59"/>
        <v/>
      </c>
      <c r="C403" s="90"/>
      <c r="D403" s="85" t="str">
        <f t="shared" si="60"/>
        <v/>
      </c>
      <c r="E403" s="123"/>
      <c r="F403" s="85" t="str">
        <f t="shared" si="61"/>
        <v/>
      </c>
      <c r="G403" s="85" t="str">
        <f t="shared" si="62"/>
        <v/>
      </c>
      <c r="H403" s="122"/>
      <c r="I403" s="122"/>
      <c r="J403" s="122"/>
      <c r="K403" s="135"/>
      <c r="L403" s="134"/>
      <c r="M403" s="134"/>
      <c r="N403" s="135"/>
      <c r="O403" s="266"/>
      <c r="P403" s="89"/>
      <c r="R403" t="str">
        <f t="shared" si="63"/>
        <v/>
      </c>
      <c r="S403" t="str">
        <f t="shared" si="64"/>
        <v/>
      </c>
      <c r="T403" t="str">
        <f t="shared" si="65"/>
        <v/>
      </c>
      <c r="AD403" t="s">
        <v>3171</v>
      </c>
      <c r="AE403" t="s">
        <v>3172</v>
      </c>
      <c r="AF403" t="str">
        <f t="shared" si="66"/>
        <v>A679077</v>
      </c>
      <c r="AG403" t="str">
        <f>VLOOKUP(AF403,AKT!$C$4:$E$324,3,FALSE)</f>
        <v>0942</v>
      </c>
    </row>
    <row r="404" spans="1:33">
      <c r="A404" s="90"/>
      <c r="B404" s="85" t="str">
        <f t="shared" si="59"/>
        <v/>
      </c>
      <c r="C404" s="90"/>
      <c r="D404" s="85" t="str">
        <f t="shared" si="60"/>
        <v/>
      </c>
      <c r="E404" s="123"/>
      <c r="F404" s="85" t="str">
        <f t="shared" si="61"/>
        <v/>
      </c>
      <c r="G404" s="85" t="str">
        <f t="shared" si="62"/>
        <v/>
      </c>
      <c r="H404" s="122"/>
      <c r="I404" s="122"/>
      <c r="J404" s="122"/>
      <c r="K404" s="135"/>
      <c r="L404" s="134"/>
      <c r="M404" s="134"/>
      <c r="N404" s="135"/>
      <c r="O404" s="266"/>
      <c r="P404" s="89"/>
      <c r="R404" t="str">
        <f t="shared" si="63"/>
        <v/>
      </c>
      <c r="S404" t="str">
        <f t="shared" si="64"/>
        <v/>
      </c>
      <c r="T404" t="str">
        <f t="shared" si="65"/>
        <v/>
      </c>
      <c r="AD404" t="s">
        <v>3173</v>
      </c>
      <c r="AE404" t="s">
        <v>3174</v>
      </c>
      <c r="AF404" t="str">
        <f t="shared" si="66"/>
        <v>A679077</v>
      </c>
      <c r="AG404" t="str">
        <f>VLOOKUP(AF404,AKT!$C$4:$E$324,3,FALSE)</f>
        <v>0942</v>
      </c>
    </row>
    <row r="405" spans="1:33">
      <c r="A405" s="90"/>
      <c r="B405" s="85" t="str">
        <f t="shared" si="59"/>
        <v/>
      </c>
      <c r="C405" s="90"/>
      <c r="D405" s="85" t="str">
        <f t="shared" si="60"/>
        <v/>
      </c>
      <c r="E405" s="123"/>
      <c r="F405" s="85" t="str">
        <f t="shared" si="61"/>
        <v/>
      </c>
      <c r="G405" s="85" t="str">
        <f t="shared" si="62"/>
        <v/>
      </c>
      <c r="H405" s="122"/>
      <c r="I405" s="122"/>
      <c r="J405" s="122"/>
      <c r="K405" s="135"/>
      <c r="L405" s="134"/>
      <c r="M405" s="134"/>
      <c r="N405" s="135"/>
      <c r="O405" s="266"/>
      <c r="P405" s="89"/>
      <c r="R405" t="str">
        <f t="shared" si="63"/>
        <v/>
      </c>
      <c r="S405" t="str">
        <f t="shared" si="64"/>
        <v/>
      </c>
      <c r="T405" t="str">
        <f t="shared" si="65"/>
        <v/>
      </c>
      <c r="AD405" t="s">
        <v>3175</v>
      </c>
      <c r="AE405" t="s">
        <v>3176</v>
      </c>
      <c r="AF405" t="str">
        <f t="shared" si="66"/>
        <v>A679077</v>
      </c>
      <c r="AG405" t="str">
        <f>VLOOKUP(AF405,AKT!$C$4:$E$324,3,FALSE)</f>
        <v>0942</v>
      </c>
    </row>
    <row r="406" spans="1:33">
      <c r="A406" s="90"/>
      <c r="B406" s="85" t="str">
        <f t="shared" si="59"/>
        <v/>
      </c>
      <c r="C406" s="90"/>
      <c r="D406" s="85" t="str">
        <f t="shared" si="60"/>
        <v/>
      </c>
      <c r="E406" s="123"/>
      <c r="F406" s="85" t="str">
        <f t="shared" si="61"/>
        <v/>
      </c>
      <c r="G406" s="85" t="str">
        <f t="shared" si="62"/>
        <v/>
      </c>
      <c r="H406" s="122"/>
      <c r="I406" s="122"/>
      <c r="J406" s="122"/>
      <c r="K406" s="135"/>
      <c r="L406" s="134"/>
      <c r="M406" s="134"/>
      <c r="N406" s="135"/>
      <c r="O406" s="266"/>
      <c r="P406" s="89"/>
      <c r="R406" t="str">
        <f t="shared" si="63"/>
        <v/>
      </c>
      <c r="S406" t="str">
        <f t="shared" si="64"/>
        <v/>
      </c>
      <c r="T406" t="str">
        <f t="shared" si="65"/>
        <v/>
      </c>
      <c r="AD406" t="s">
        <v>3177</v>
      </c>
      <c r="AE406" t="s">
        <v>3178</v>
      </c>
      <c r="AF406" t="str">
        <f t="shared" si="66"/>
        <v>A679077</v>
      </c>
      <c r="AG406" t="str">
        <f>VLOOKUP(AF406,AKT!$C$4:$E$324,3,FALSE)</f>
        <v>0942</v>
      </c>
    </row>
    <row r="407" spans="1:33">
      <c r="A407" s="90"/>
      <c r="B407" s="85" t="str">
        <f t="shared" si="59"/>
        <v/>
      </c>
      <c r="C407" s="90"/>
      <c r="D407" s="85" t="str">
        <f t="shared" si="60"/>
        <v/>
      </c>
      <c r="E407" s="123"/>
      <c r="F407" s="85" t="str">
        <f t="shared" si="61"/>
        <v/>
      </c>
      <c r="G407" s="85" t="str">
        <f t="shared" si="62"/>
        <v/>
      </c>
      <c r="H407" s="122"/>
      <c r="I407" s="122"/>
      <c r="J407" s="122"/>
      <c r="K407" s="135"/>
      <c r="L407" s="134"/>
      <c r="M407" s="134"/>
      <c r="N407" s="135"/>
      <c r="O407" s="266"/>
      <c r="P407" s="89"/>
      <c r="R407" t="str">
        <f t="shared" si="63"/>
        <v/>
      </c>
      <c r="S407" t="str">
        <f t="shared" si="64"/>
        <v/>
      </c>
      <c r="T407" t="str">
        <f t="shared" si="65"/>
        <v/>
      </c>
      <c r="AD407" t="s">
        <v>3179</v>
      </c>
      <c r="AE407" t="s">
        <v>3180</v>
      </c>
      <c r="AF407" t="str">
        <f t="shared" si="66"/>
        <v>A679077</v>
      </c>
      <c r="AG407" t="str">
        <f>VLOOKUP(AF407,AKT!$C$4:$E$324,3,FALSE)</f>
        <v>0942</v>
      </c>
    </row>
    <row r="408" spans="1:33">
      <c r="A408" s="90"/>
      <c r="B408" s="85" t="str">
        <f t="shared" si="59"/>
        <v/>
      </c>
      <c r="C408" s="90"/>
      <c r="D408" s="85" t="str">
        <f t="shared" si="60"/>
        <v/>
      </c>
      <c r="E408" s="123"/>
      <c r="F408" s="85" t="str">
        <f t="shared" si="61"/>
        <v/>
      </c>
      <c r="G408" s="85" t="str">
        <f t="shared" si="62"/>
        <v/>
      </c>
      <c r="H408" s="122"/>
      <c r="I408" s="122"/>
      <c r="J408" s="122"/>
      <c r="K408" s="135"/>
      <c r="L408" s="134"/>
      <c r="M408" s="134"/>
      <c r="N408" s="135"/>
      <c r="O408" s="266"/>
      <c r="P408" s="89"/>
      <c r="R408" t="str">
        <f t="shared" si="63"/>
        <v/>
      </c>
      <c r="S408" t="str">
        <f t="shared" si="64"/>
        <v/>
      </c>
      <c r="T408" t="str">
        <f t="shared" si="65"/>
        <v/>
      </c>
      <c r="AD408" t="s">
        <v>3181</v>
      </c>
      <c r="AE408" t="s">
        <v>3182</v>
      </c>
      <c r="AF408" t="str">
        <f t="shared" si="66"/>
        <v>A679077</v>
      </c>
      <c r="AG408" t="str">
        <f>VLOOKUP(AF408,AKT!$C$4:$E$324,3,FALSE)</f>
        <v>0942</v>
      </c>
    </row>
    <row r="409" spans="1:33">
      <c r="A409" s="90"/>
      <c r="B409" s="85" t="str">
        <f t="shared" si="59"/>
        <v/>
      </c>
      <c r="C409" s="90"/>
      <c r="D409" s="85" t="str">
        <f t="shared" si="60"/>
        <v/>
      </c>
      <c r="E409" s="123"/>
      <c r="F409" s="85" t="str">
        <f t="shared" si="61"/>
        <v/>
      </c>
      <c r="G409" s="85" t="str">
        <f t="shared" si="62"/>
        <v/>
      </c>
      <c r="H409" s="122"/>
      <c r="I409" s="122"/>
      <c r="J409" s="122"/>
      <c r="K409" s="135"/>
      <c r="L409" s="134"/>
      <c r="M409" s="134"/>
      <c r="N409" s="135"/>
      <c r="O409" s="266"/>
      <c r="P409" s="89"/>
      <c r="R409" t="str">
        <f t="shared" si="63"/>
        <v/>
      </c>
      <c r="S409" t="str">
        <f t="shared" si="64"/>
        <v/>
      </c>
      <c r="T409" t="str">
        <f t="shared" si="65"/>
        <v/>
      </c>
      <c r="AD409" t="s">
        <v>3183</v>
      </c>
      <c r="AE409" t="s">
        <v>3184</v>
      </c>
      <c r="AF409" t="str">
        <f t="shared" si="66"/>
        <v>A679077</v>
      </c>
      <c r="AG409" t="str">
        <f>VLOOKUP(AF409,AKT!$C$4:$E$324,3,FALSE)</f>
        <v>0942</v>
      </c>
    </row>
    <row r="410" spans="1:33">
      <c r="A410" s="90"/>
      <c r="B410" s="85" t="str">
        <f t="shared" si="59"/>
        <v/>
      </c>
      <c r="C410" s="90"/>
      <c r="D410" s="85" t="str">
        <f t="shared" si="60"/>
        <v/>
      </c>
      <c r="E410" s="123"/>
      <c r="F410" s="85" t="str">
        <f t="shared" si="61"/>
        <v/>
      </c>
      <c r="G410" s="85" t="str">
        <f t="shared" si="62"/>
        <v/>
      </c>
      <c r="H410" s="122"/>
      <c r="I410" s="122"/>
      <c r="J410" s="122"/>
      <c r="K410" s="135"/>
      <c r="L410" s="134"/>
      <c r="M410" s="134"/>
      <c r="N410" s="135"/>
      <c r="O410" s="266"/>
      <c r="P410" s="89"/>
      <c r="R410" t="str">
        <f t="shared" si="63"/>
        <v/>
      </c>
      <c r="S410" t="str">
        <f t="shared" si="64"/>
        <v/>
      </c>
      <c r="T410" t="str">
        <f t="shared" si="65"/>
        <v/>
      </c>
      <c r="AD410" t="s">
        <v>3185</v>
      </c>
      <c r="AE410" t="s">
        <v>3186</v>
      </c>
      <c r="AF410" t="str">
        <f t="shared" si="66"/>
        <v>A679077</v>
      </c>
      <c r="AG410" t="str">
        <f>VLOOKUP(AF410,AKT!$C$4:$E$324,3,FALSE)</f>
        <v>0942</v>
      </c>
    </row>
    <row r="411" spans="1:33">
      <c r="A411" s="90"/>
      <c r="B411" s="85" t="str">
        <f t="shared" si="59"/>
        <v/>
      </c>
      <c r="C411" s="90"/>
      <c r="D411" s="85" t="str">
        <f t="shared" si="60"/>
        <v/>
      </c>
      <c r="E411" s="123"/>
      <c r="F411" s="85" t="str">
        <f t="shared" si="61"/>
        <v/>
      </c>
      <c r="G411" s="85" t="str">
        <f t="shared" si="62"/>
        <v/>
      </c>
      <c r="H411" s="122"/>
      <c r="I411" s="122"/>
      <c r="J411" s="122"/>
      <c r="K411" s="135"/>
      <c r="L411" s="134"/>
      <c r="M411" s="134"/>
      <c r="N411" s="135"/>
      <c r="O411" s="266"/>
      <c r="P411" s="89"/>
      <c r="R411" t="str">
        <f t="shared" si="63"/>
        <v/>
      </c>
      <c r="S411" t="str">
        <f t="shared" si="64"/>
        <v/>
      </c>
      <c r="T411" t="str">
        <f t="shared" si="65"/>
        <v/>
      </c>
      <c r="AD411" t="s">
        <v>3187</v>
      </c>
      <c r="AE411" t="s">
        <v>3188</v>
      </c>
      <c r="AF411" t="str">
        <f t="shared" si="66"/>
        <v>A679077</v>
      </c>
      <c r="AG411" t="str">
        <f>VLOOKUP(AF411,AKT!$C$4:$E$324,3,FALSE)</f>
        <v>0942</v>
      </c>
    </row>
    <row r="412" spans="1:33">
      <c r="A412" s="90"/>
      <c r="B412" s="85" t="str">
        <f t="shared" si="59"/>
        <v/>
      </c>
      <c r="C412" s="90"/>
      <c r="D412" s="85" t="str">
        <f t="shared" si="60"/>
        <v/>
      </c>
      <c r="E412" s="123"/>
      <c r="F412" s="85" t="str">
        <f t="shared" si="61"/>
        <v/>
      </c>
      <c r="G412" s="85" t="str">
        <f t="shared" si="62"/>
        <v/>
      </c>
      <c r="H412" s="122"/>
      <c r="I412" s="122"/>
      <c r="J412" s="122"/>
      <c r="K412" s="135"/>
      <c r="L412" s="134"/>
      <c r="M412" s="134"/>
      <c r="N412" s="135"/>
      <c r="O412" s="266"/>
      <c r="P412" s="89"/>
      <c r="R412" t="str">
        <f t="shared" si="63"/>
        <v/>
      </c>
      <c r="S412" t="str">
        <f t="shared" si="64"/>
        <v/>
      </c>
      <c r="T412" t="str">
        <f t="shared" si="65"/>
        <v/>
      </c>
      <c r="AD412" t="s">
        <v>3189</v>
      </c>
      <c r="AE412" t="s">
        <v>3190</v>
      </c>
      <c r="AF412" t="str">
        <f t="shared" si="66"/>
        <v>A679077</v>
      </c>
      <c r="AG412" t="str">
        <f>VLOOKUP(AF412,AKT!$C$4:$E$324,3,FALSE)</f>
        <v>0942</v>
      </c>
    </row>
    <row r="413" spans="1:33">
      <c r="A413" s="90"/>
      <c r="B413" s="85" t="str">
        <f t="shared" si="59"/>
        <v/>
      </c>
      <c r="C413" s="90"/>
      <c r="D413" s="85" t="str">
        <f t="shared" si="60"/>
        <v/>
      </c>
      <c r="E413" s="123"/>
      <c r="F413" s="85" t="str">
        <f t="shared" si="61"/>
        <v/>
      </c>
      <c r="G413" s="85" t="str">
        <f t="shared" si="62"/>
        <v/>
      </c>
      <c r="H413" s="122"/>
      <c r="I413" s="122"/>
      <c r="J413" s="122"/>
      <c r="K413" s="135"/>
      <c r="L413" s="134"/>
      <c r="M413" s="134"/>
      <c r="N413" s="135"/>
      <c r="O413" s="266"/>
      <c r="P413" s="89"/>
      <c r="R413" t="str">
        <f t="shared" si="63"/>
        <v/>
      </c>
      <c r="S413" t="str">
        <f t="shared" si="64"/>
        <v/>
      </c>
      <c r="T413" t="str">
        <f t="shared" si="65"/>
        <v/>
      </c>
      <c r="AD413" t="s">
        <v>3191</v>
      </c>
      <c r="AE413" t="s">
        <v>3192</v>
      </c>
      <c r="AF413" t="str">
        <f t="shared" si="66"/>
        <v>A679077</v>
      </c>
      <c r="AG413" t="str">
        <f>VLOOKUP(AF413,AKT!$C$4:$E$324,3,FALSE)</f>
        <v>0942</v>
      </c>
    </row>
    <row r="414" spans="1:33">
      <c r="A414" s="90"/>
      <c r="B414" s="85" t="str">
        <f t="shared" si="59"/>
        <v/>
      </c>
      <c r="C414" s="90"/>
      <c r="D414" s="85" t="str">
        <f t="shared" si="60"/>
        <v/>
      </c>
      <c r="E414" s="123"/>
      <c r="F414" s="85" t="str">
        <f t="shared" si="61"/>
        <v/>
      </c>
      <c r="G414" s="85" t="str">
        <f t="shared" si="62"/>
        <v/>
      </c>
      <c r="H414" s="122"/>
      <c r="I414" s="122"/>
      <c r="J414" s="122"/>
      <c r="K414" s="135"/>
      <c r="L414" s="134"/>
      <c r="M414" s="134"/>
      <c r="N414" s="135"/>
      <c r="O414" s="266"/>
      <c r="P414" s="89"/>
      <c r="R414" t="str">
        <f t="shared" si="63"/>
        <v/>
      </c>
      <c r="S414" t="str">
        <f t="shared" si="64"/>
        <v/>
      </c>
      <c r="T414" t="str">
        <f t="shared" si="65"/>
        <v/>
      </c>
      <c r="AD414" t="s">
        <v>3193</v>
      </c>
      <c r="AE414" t="s">
        <v>3194</v>
      </c>
      <c r="AF414" t="str">
        <f t="shared" si="66"/>
        <v>A679077</v>
      </c>
      <c r="AG414" t="str">
        <f>VLOOKUP(AF414,AKT!$C$4:$E$324,3,FALSE)</f>
        <v>0942</v>
      </c>
    </row>
    <row r="415" spans="1:33">
      <c r="A415" s="90"/>
      <c r="B415" s="85" t="str">
        <f t="shared" si="59"/>
        <v/>
      </c>
      <c r="C415" s="90"/>
      <c r="D415" s="85" t="str">
        <f t="shared" si="60"/>
        <v/>
      </c>
      <c r="E415" s="123"/>
      <c r="F415" s="85" t="str">
        <f t="shared" si="61"/>
        <v/>
      </c>
      <c r="G415" s="85" t="str">
        <f t="shared" si="62"/>
        <v/>
      </c>
      <c r="H415" s="122"/>
      <c r="I415" s="122"/>
      <c r="J415" s="122"/>
      <c r="K415" s="135"/>
      <c r="L415" s="134"/>
      <c r="M415" s="134"/>
      <c r="N415" s="135"/>
      <c r="O415" s="266"/>
      <c r="P415" s="89"/>
      <c r="R415" t="str">
        <f t="shared" si="63"/>
        <v/>
      </c>
      <c r="S415" t="str">
        <f t="shared" si="64"/>
        <v/>
      </c>
      <c r="T415" t="str">
        <f t="shared" si="65"/>
        <v/>
      </c>
      <c r="AD415" t="s">
        <v>804</v>
      </c>
      <c r="AE415" t="s">
        <v>805</v>
      </c>
      <c r="AF415" t="str">
        <f t="shared" si="66"/>
        <v>A679078</v>
      </c>
      <c r="AG415" t="str">
        <f>VLOOKUP(AF415,AKT!$C$4:$E$324,3,FALSE)</f>
        <v>0942</v>
      </c>
    </row>
    <row r="416" spans="1:33">
      <c r="A416" s="90"/>
      <c r="B416" s="85" t="str">
        <f t="shared" si="59"/>
        <v/>
      </c>
      <c r="C416" s="90"/>
      <c r="D416" s="85" t="str">
        <f t="shared" si="60"/>
        <v/>
      </c>
      <c r="E416" s="123"/>
      <c r="F416" s="85" t="str">
        <f t="shared" si="61"/>
        <v/>
      </c>
      <c r="G416" s="85" t="str">
        <f t="shared" si="62"/>
        <v/>
      </c>
      <c r="H416" s="122"/>
      <c r="I416" s="122"/>
      <c r="J416" s="122"/>
      <c r="K416" s="135"/>
      <c r="L416" s="134"/>
      <c r="M416" s="134"/>
      <c r="N416" s="135"/>
      <c r="O416" s="266"/>
      <c r="P416" s="89"/>
      <c r="R416" t="str">
        <f t="shared" si="63"/>
        <v/>
      </c>
      <c r="S416" t="str">
        <f t="shared" si="64"/>
        <v/>
      </c>
      <c r="T416" t="str">
        <f t="shared" si="65"/>
        <v/>
      </c>
      <c r="AD416" t="s">
        <v>806</v>
      </c>
      <c r="AE416" t="s">
        <v>807</v>
      </c>
      <c r="AF416" t="str">
        <f t="shared" si="66"/>
        <v>A679078</v>
      </c>
      <c r="AG416" t="str">
        <f>VLOOKUP(AF416,AKT!$C$4:$E$324,3,FALSE)</f>
        <v>0942</v>
      </c>
    </row>
    <row r="417" spans="1:33">
      <c r="A417" s="90"/>
      <c r="B417" s="85" t="str">
        <f t="shared" si="59"/>
        <v/>
      </c>
      <c r="C417" s="90"/>
      <c r="D417" s="85" t="str">
        <f t="shared" si="60"/>
        <v/>
      </c>
      <c r="E417" s="123"/>
      <c r="F417" s="85" t="str">
        <f t="shared" si="61"/>
        <v/>
      </c>
      <c r="G417" s="85" t="str">
        <f t="shared" si="62"/>
        <v/>
      </c>
      <c r="H417" s="122"/>
      <c r="I417" s="122"/>
      <c r="J417" s="122"/>
      <c r="K417" s="135"/>
      <c r="L417" s="134"/>
      <c r="M417" s="134"/>
      <c r="N417" s="135"/>
      <c r="O417" s="266"/>
      <c r="P417" s="89"/>
      <c r="R417" t="str">
        <f t="shared" si="63"/>
        <v/>
      </c>
      <c r="S417" t="str">
        <f t="shared" si="64"/>
        <v/>
      </c>
      <c r="T417" t="str">
        <f t="shared" si="65"/>
        <v/>
      </c>
      <c r="AD417" t="s">
        <v>808</v>
      </c>
      <c r="AE417" t="s">
        <v>809</v>
      </c>
      <c r="AF417" t="str">
        <f t="shared" si="66"/>
        <v>A679078</v>
      </c>
      <c r="AG417" t="str">
        <f>VLOOKUP(AF417,AKT!$C$4:$E$324,3,FALSE)</f>
        <v>0942</v>
      </c>
    </row>
    <row r="418" spans="1:33">
      <c r="A418" s="90"/>
      <c r="B418" s="85" t="str">
        <f t="shared" si="59"/>
        <v/>
      </c>
      <c r="C418" s="90"/>
      <c r="D418" s="85" t="str">
        <f t="shared" si="60"/>
        <v/>
      </c>
      <c r="E418" s="123"/>
      <c r="F418" s="85" t="str">
        <f t="shared" si="61"/>
        <v/>
      </c>
      <c r="G418" s="85" t="str">
        <f t="shared" si="62"/>
        <v/>
      </c>
      <c r="H418" s="122"/>
      <c r="I418" s="122"/>
      <c r="J418" s="122"/>
      <c r="K418" s="135"/>
      <c r="L418" s="134"/>
      <c r="M418" s="134"/>
      <c r="N418" s="135"/>
      <c r="O418" s="266"/>
      <c r="P418" s="89"/>
      <c r="R418" t="str">
        <f t="shared" si="63"/>
        <v/>
      </c>
      <c r="S418" t="str">
        <f t="shared" si="64"/>
        <v/>
      </c>
      <c r="T418" t="str">
        <f t="shared" si="65"/>
        <v/>
      </c>
      <c r="AD418" t="s">
        <v>3195</v>
      </c>
      <c r="AE418" t="s">
        <v>3196</v>
      </c>
      <c r="AF418" t="str">
        <f t="shared" si="66"/>
        <v>A679078</v>
      </c>
      <c r="AG418" t="str">
        <f>VLOOKUP(AF418,AKT!$C$4:$E$324,3,FALSE)</f>
        <v>0942</v>
      </c>
    </row>
    <row r="419" spans="1:33">
      <c r="A419" s="90"/>
      <c r="B419" s="85" t="str">
        <f t="shared" si="59"/>
        <v/>
      </c>
      <c r="C419" s="90"/>
      <c r="D419" s="85" t="str">
        <f t="shared" si="60"/>
        <v/>
      </c>
      <c r="E419" s="123"/>
      <c r="F419" s="85" t="str">
        <f t="shared" si="61"/>
        <v/>
      </c>
      <c r="G419" s="85" t="str">
        <f t="shared" si="62"/>
        <v/>
      </c>
      <c r="H419" s="122"/>
      <c r="I419" s="122"/>
      <c r="J419" s="122"/>
      <c r="K419" s="135"/>
      <c r="L419" s="134"/>
      <c r="M419" s="134"/>
      <c r="N419" s="135"/>
      <c r="O419" s="266"/>
      <c r="P419" s="89"/>
      <c r="R419" t="str">
        <f t="shared" si="63"/>
        <v/>
      </c>
      <c r="S419" t="str">
        <f t="shared" si="64"/>
        <v/>
      </c>
      <c r="T419" t="str">
        <f t="shared" si="65"/>
        <v/>
      </c>
      <c r="AD419" t="s">
        <v>3197</v>
      </c>
      <c r="AE419" t="s">
        <v>3198</v>
      </c>
      <c r="AF419" t="str">
        <f t="shared" si="66"/>
        <v>A679078</v>
      </c>
      <c r="AG419" t="str">
        <f>VLOOKUP(AF419,AKT!$C$4:$E$324,3,FALSE)</f>
        <v>0942</v>
      </c>
    </row>
    <row r="420" spans="1:33">
      <c r="A420" s="90"/>
      <c r="B420" s="85" t="str">
        <f t="shared" si="59"/>
        <v/>
      </c>
      <c r="C420" s="90"/>
      <c r="D420" s="85" t="str">
        <f t="shared" si="60"/>
        <v/>
      </c>
      <c r="E420" s="123"/>
      <c r="F420" s="85" t="str">
        <f t="shared" si="61"/>
        <v/>
      </c>
      <c r="G420" s="85" t="str">
        <f t="shared" si="62"/>
        <v/>
      </c>
      <c r="H420" s="122"/>
      <c r="I420" s="122"/>
      <c r="J420" s="122"/>
      <c r="K420" s="135"/>
      <c r="L420" s="134"/>
      <c r="M420" s="134"/>
      <c r="N420" s="135"/>
      <c r="O420" s="266"/>
      <c r="P420" s="89"/>
      <c r="R420" t="str">
        <f t="shared" si="63"/>
        <v/>
      </c>
      <c r="S420" t="str">
        <f t="shared" si="64"/>
        <v/>
      </c>
      <c r="T420" t="str">
        <f t="shared" si="65"/>
        <v/>
      </c>
      <c r="AD420" t="s">
        <v>3199</v>
      </c>
      <c r="AE420" t="s">
        <v>3200</v>
      </c>
      <c r="AF420" t="str">
        <f t="shared" si="66"/>
        <v>A679078</v>
      </c>
      <c r="AG420" t="str">
        <f>VLOOKUP(AF420,AKT!$C$4:$E$324,3,FALSE)</f>
        <v>0942</v>
      </c>
    </row>
    <row r="421" spans="1:33">
      <c r="A421" s="90"/>
      <c r="B421" s="85" t="str">
        <f t="shared" si="59"/>
        <v/>
      </c>
      <c r="C421" s="90"/>
      <c r="D421" s="85" t="str">
        <f t="shared" si="60"/>
        <v/>
      </c>
      <c r="E421" s="123"/>
      <c r="F421" s="85" t="str">
        <f t="shared" si="61"/>
        <v/>
      </c>
      <c r="G421" s="85" t="str">
        <f t="shared" si="62"/>
        <v/>
      </c>
      <c r="H421" s="122"/>
      <c r="I421" s="122"/>
      <c r="J421" s="122"/>
      <c r="K421" s="135"/>
      <c r="L421" s="134"/>
      <c r="M421" s="134"/>
      <c r="N421" s="135"/>
      <c r="O421" s="266"/>
      <c r="P421" s="89"/>
      <c r="R421" t="str">
        <f t="shared" si="63"/>
        <v/>
      </c>
      <c r="S421" t="str">
        <f t="shared" si="64"/>
        <v/>
      </c>
      <c r="T421" t="str">
        <f t="shared" si="65"/>
        <v/>
      </c>
      <c r="AD421" t="s">
        <v>3201</v>
      </c>
      <c r="AE421" t="s">
        <v>3202</v>
      </c>
      <c r="AF421" t="str">
        <f t="shared" si="66"/>
        <v>A679078</v>
      </c>
      <c r="AG421" t="str">
        <f>VLOOKUP(AF421,AKT!$C$4:$E$324,3,FALSE)</f>
        <v>0942</v>
      </c>
    </row>
    <row r="422" spans="1:33">
      <c r="A422" s="90"/>
      <c r="B422" s="85" t="str">
        <f t="shared" si="59"/>
        <v/>
      </c>
      <c r="C422" s="90"/>
      <c r="D422" s="85" t="str">
        <f t="shared" si="60"/>
        <v/>
      </c>
      <c r="E422" s="123"/>
      <c r="F422" s="85" t="str">
        <f t="shared" si="61"/>
        <v/>
      </c>
      <c r="G422" s="85" t="str">
        <f t="shared" si="62"/>
        <v/>
      </c>
      <c r="H422" s="122"/>
      <c r="I422" s="122"/>
      <c r="J422" s="122"/>
      <c r="K422" s="135"/>
      <c r="L422" s="134"/>
      <c r="M422" s="134"/>
      <c r="N422" s="135"/>
      <c r="O422" s="266"/>
      <c r="P422" s="89"/>
      <c r="R422" t="str">
        <f t="shared" si="63"/>
        <v/>
      </c>
      <c r="S422" t="str">
        <f t="shared" si="64"/>
        <v/>
      </c>
      <c r="T422" t="str">
        <f t="shared" si="65"/>
        <v/>
      </c>
      <c r="AD422" t="s">
        <v>810</v>
      </c>
      <c r="AE422" t="s">
        <v>811</v>
      </c>
      <c r="AF422" t="str">
        <f t="shared" si="66"/>
        <v>A679078</v>
      </c>
      <c r="AG422" t="str">
        <f>VLOOKUP(AF422,AKT!$C$4:$E$324,3,FALSE)</f>
        <v>0942</v>
      </c>
    </row>
    <row r="423" spans="1:33">
      <c r="A423" s="90"/>
      <c r="B423" s="85" t="str">
        <f t="shared" si="59"/>
        <v/>
      </c>
      <c r="C423" s="90"/>
      <c r="D423" s="85" t="str">
        <f t="shared" si="60"/>
        <v/>
      </c>
      <c r="E423" s="123"/>
      <c r="F423" s="85" t="str">
        <f t="shared" si="61"/>
        <v/>
      </c>
      <c r="G423" s="85" t="str">
        <f t="shared" si="62"/>
        <v/>
      </c>
      <c r="H423" s="122"/>
      <c r="I423" s="122"/>
      <c r="J423" s="122"/>
      <c r="K423" s="135"/>
      <c r="L423" s="134"/>
      <c r="M423" s="134"/>
      <c r="N423" s="135"/>
      <c r="O423" s="266"/>
      <c r="P423" s="89"/>
      <c r="R423" t="str">
        <f t="shared" si="63"/>
        <v/>
      </c>
      <c r="S423" t="str">
        <f t="shared" si="64"/>
        <v/>
      </c>
      <c r="T423" t="str">
        <f t="shared" si="65"/>
        <v/>
      </c>
      <c r="AD423" t="s">
        <v>812</v>
      </c>
      <c r="AE423" t="s">
        <v>813</v>
      </c>
      <c r="AF423" t="str">
        <f t="shared" si="66"/>
        <v>A679078</v>
      </c>
      <c r="AG423" t="str">
        <f>VLOOKUP(AF423,AKT!$C$4:$E$324,3,FALSE)</f>
        <v>0942</v>
      </c>
    </row>
    <row r="424" spans="1:33">
      <c r="A424" s="90"/>
      <c r="B424" s="85" t="str">
        <f t="shared" si="59"/>
        <v/>
      </c>
      <c r="C424" s="90"/>
      <c r="D424" s="85" t="str">
        <f t="shared" si="60"/>
        <v/>
      </c>
      <c r="E424" s="123"/>
      <c r="F424" s="85" t="str">
        <f t="shared" si="61"/>
        <v/>
      </c>
      <c r="G424" s="85" t="str">
        <f t="shared" si="62"/>
        <v/>
      </c>
      <c r="H424" s="122"/>
      <c r="I424" s="122"/>
      <c r="J424" s="122"/>
      <c r="K424" s="135"/>
      <c r="L424" s="134"/>
      <c r="M424" s="134"/>
      <c r="N424" s="135"/>
      <c r="O424" s="266"/>
      <c r="P424" s="89"/>
      <c r="R424" t="str">
        <f t="shared" si="63"/>
        <v/>
      </c>
      <c r="S424" t="str">
        <f t="shared" si="64"/>
        <v/>
      </c>
      <c r="T424" t="str">
        <f t="shared" si="65"/>
        <v/>
      </c>
      <c r="AD424" t="s">
        <v>814</v>
      </c>
      <c r="AE424" t="s">
        <v>815</v>
      </c>
      <c r="AF424" t="str">
        <f t="shared" si="66"/>
        <v>A679078</v>
      </c>
      <c r="AG424" t="str">
        <f>VLOOKUP(AF424,AKT!$C$4:$E$324,3,FALSE)</f>
        <v>0942</v>
      </c>
    </row>
    <row r="425" spans="1:33">
      <c r="A425" s="90"/>
      <c r="B425" s="85" t="str">
        <f t="shared" si="59"/>
        <v/>
      </c>
      <c r="C425" s="90"/>
      <c r="D425" s="85" t="str">
        <f t="shared" si="60"/>
        <v/>
      </c>
      <c r="E425" s="123"/>
      <c r="F425" s="85" t="str">
        <f t="shared" si="61"/>
        <v/>
      </c>
      <c r="G425" s="85" t="str">
        <f t="shared" si="62"/>
        <v/>
      </c>
      <c r="H425" s="122"/>
      <c r="I425" s="122"/>
      <c r="J425" s="122"/>
      <c r="K425" s="135"/>
      <c r="L425" s="134"/>
      <c r="M425" s="134"/>
      <c r="N425" s="135"/>
      <c r="O425" s="266"/>
      <c r="P425" s="89"/>
      <c r="R425" t="str">
        <f t="shared" si="63"/>
        <v/>
      </c>
      <c r="S425" t="str">
        <f t="shared" si="64"/>
        <v/>
      </c>
      <c r="T425" t="str">
        <f t="shared" si="65"/>
        <v/>
      </c>
      <c r="AD425" t="s">
        <v>816</v>
      </c>
      <c r="AE425" t="s">
        <v>817</v>
      </c>
      <c r="AF425" t="str">
        <f t="shared" si="66"/>
        <v>A679078</v>
      </c>
      <c r="AG425" t="str">
        <f>VLOOKUP(AF425,AKT!$C$4:$E$324,3,FALSE)</f>
        <v>0942</v>
      </c>
    </row>
    <row r="426" spans="1:33">
      <c r="A426" s="90"/>
      <c r="B426" s="85" t="str">
        <f t="shared" si="59"/>
        <v/>
      </c>
      <c r="C426" s="90"/>
      <c r="D426" s="85" t="str">
        <f t="shared" si="60"/>
        <v/>
      </c>
      <c r="E426" s="123"/>
      <c r="F426" s="85" t="str">
        <f t="shared" si="61"/>
        <v/>
      </c>
      <c r="G426" s="85" t="str">
        <f t="shared" si="62"/>
        <v/>
      </c>
      <c r="H426" s="122"/>
      <c r="I426" s="122"/>
      <c r="J426" s="122"/>
      <c r="K426" s="135"/>
      <c r="L426" s="134"/>
      <c r="M426" s="134"/>
      <c r="N426" s="135"/>
      <c r="O426" s="266"/>
      <c r="P426" s="89"/>
      <c r="R426" t="str">
        <f t="shared" si="63"/>
        <v/>
      </c>
      <c r="S426" t="str">
        <f t="shared" si="64"/>
        <v/>
      </c>
      <c r="T426" t="str">
        <f t="shared" si="65"/>
        <v/>
      </c>
      <c r="AD426" t="s">
        <v>818</v>
      </c>
      <c r="AE426" t="s">
        <v>819</v>
      </c>
      <c r="AF426" t="str">
        <f t="shared" si="66"/>
        <v>A679078</v>
      </c>
      <c r="AG426" t="str">
        <f>VLOOKUP(AF426,AKT!$C$4:$E$324,3,FALSE)</f>
        <v>0942</v>
      </c>
    </row>
    <row r="427" spans="1:33">
      <c r="A427" s="90"/>
      <c r="B427" s="85" t="str">
        <f t="shared" si="59"/>
        <v/>
      </c>
      <c r="C427" s="90"/>
      <c r="D427" s="85" t="str">
        <f t="shared" si="60"/>
        <v/>
      </c>
      <c r="E427" s="123"/>
      <c r="F427" s="85" t="str">
        <f t="shared" si="61"/>
        <v/>
      </c>
      <c r="G427" s="85" t="str">
        <f t="shared" si="62"/>
        <v/>
      </c>
      <c r="H427" s="122"/>
      <c r="I427" s="122"/>
      <c r="J427" s="122"/>
      <c r="K427" s="135"/>
      <c r="L427" s="134"/>
      <c r="M427" s="134"/>
      <c r="N427" s="135"/>
      <c r="O427" s="266"/>
      <c r="P427" s="89"/>
      <c r="R427" t="str">
        <f t="shared" si="63"/>
        <v/>
      </c>
      <c r="S427" t="str">
        <f t="shared" si="64"/>
        <v/>
      </c>
      <c r="T427" t="str">
        <f t="shared" si="65"/>
        <v/>
      </c>
      <c r="AD427" t="s">
        <v>820</v>
      </c>
      <c r="AE427" t="s">
        <v>821</v>
      </c>
      <c r="AF427" t="str">
        <f t="shared" si="66"/>
        <v>A679078</v>
      </c>
      <c r="AG427" t="str">
        <f>VLOOKUP(AF427,AKT!$C$4:$E$324,3,FALSE)</f>
        <v>0942</v>
      </c>
    </row>
    <row r="428" spans="1:33">
      <c r="A428" s="90"/>
      <c r="B428" s="85" t="str">
        <f t="shared" si="59"/>
        <v/>
      </c>
      <c r="C428" s="90"/>
      <c r="D428" s="85" t="str">
        <f t="shared" si="60"/>
        <v/>
      </c>
      <c r="E428" s="123"/>
      <c r="F428" s="85" t="str">
        <f t="shared" si="61"/>
        <v/>
      </c>
      <c r="G428" s="85" t="str">
        <f t="shared" si="62"/>
        <v/>
      </c>
      <c r="H428" s="122"/>
      <c r="I428" s="122"/>
      <c r="J428" s="122"/>
      <c r="K428" s="135"/>
      <c r="L428" s="134"/>
      <c r="M428" s="134"/>
      <c r="N428" s="135"/>
      <c r="O428" s="266"/>
      <c r="P428" s="89"/>
      <c r="R428" t="str">
        <f t="shared" si="63"/>
        <v/>
      </c>
      <c r="S428" t="str">
        <f t="shared" si="64"/>
        <v/>
      </c>
      <c r="T428" t="str">
        <f t="shared" si="65"/>
        <v/>
      </c>
      <c r="AD428" t="s">
        <v>822</v>
      </c>
      <c r="AE428" t="s">
        <v>823</v>
      </c>
      <c r="AF428" t="str">
        <f t="shared" si="66"/>
        <v>A679078</v>
      </c>
      <c r="AG428" t="str">
        <f>VLOOKUP(AF428,AKT!$C$4:$E$324,3,FALSE)</f>
        <v>0942</v>
      </c>
    </row>
    <row r="429" spans="1:33">
      <c r="A429" s="90"/>
      <c r="B429" s="85" t="str">
        <f t="shared" si="59"/>
        <v/>
      </c>
      <c r="C429" s="90"/>
      <c r="D429" s="85" t="str">
        <f t="shared" si="60"/>
        <v/>
      </c>
      <c r="E429" s="123"/>
      <c r="F429" s="85" t="str">
        <f t="shared" si="61"/>
        <v/>
      </c>
      <c r="G429" s="85" t="str">
        <f t="shared" si="62"/>
        <v/>
      </c>
      <c r="H429" s="122"/>
      <c r="I429" s="122"/>
      <c r="J429" s="122"/>
      <c r="K429" s="135"/>
      <c r="L429" s="134"/>
      <c r="M429" s="134"/>
      <c r="N429" s="135"/>
      <c r="O429" s="266"/>
      <c r="P429" s="89"/>
      <c r="R429" t="str">
        <f t="shared" si="63"/>
        <v/>
      </c>
      <c r="S429" t="str">
        <f t="shared" si="64"/>
        <v/>
      </c>
      <c r="T429" t="str">
        <f t="shared" si="65"/>
        <v/>
      </c>
      <c r="AD429" t="s">
        <v>824</v>
      </c>
      <c r="AE429" t="s">
        <v>825</v>
      </c>
      <c r="AF429" t="str">
        <f t="shared" si="66"/>
        <v>A679078</v>
      </c>
      <c r="AG429" t="str">
        <f>VLOOKUP(AF429,AKT!$C$4:$E$324,3,FALSE)</f>
        <v>0942</v>
      </c>
    </row>
    <row r="430" spans="1:33">
      <c r="A430" s="90"/>
      <c r="B430" s="85" t="str">
        <f t="shared" si="59"/>
        <v/>
      </c>
      <c r="C430" s="90"/>
      <c r="D430" s="85" t="str">
        <f t="shared" si="60"/>
        <v/>
      </c>
      <c r="E430" s="123"/>
      <c r="F430" s="85" t="str">
        <f t="shared" si="61"/>
        <v/>
      </c>
      <c r="G430" s="85" t="str">
        <f t="shared" si="62"/>
        <v/>
      </c>
      <c r="H430" s="122"/>
      <c r="I430" s="122"/>
      <c r="J430" s="122"/>
      <c r="K430" s="135"/>
      <c r="L430" s="134"/>
      <c r="M430" s="134"/>
      <c r="N430" s="135"/>
      <c r="O430" s="266"/>
      <c r="P430" s="89"/>
      <c r="R430" t="str">
        <f t="shared" si="63"/>
        <v/>
      </c>
      <c r="S430" t="str">
        <f t="shared" si="64"/>
        <v/>
      </c>
      <c r="T430" t="str">
        <f t="shared" si="65"/>
        <v/>
      </c>
      <c r="AD430" t="s">
        <v>826</v>
      </c>
      <c r="AE430" t="s">
        <v>827</v>
      </c>
      <c r="AF430" t="str">
        <f t="shared" si="66"/>
        <v>A679078</v>
      </c>
      <c r="AG430" t="str">
        <f>VLOOKUP(AF430,AKT!$C$4:$E$324,3,FALSE)</f>
        <v>0942</v>
      </c>
    </row>
    <row r="431" spans="1:33">
      <c r="A431" s="90"/>
      <c r="B431" s="85" t="str">
        <f t="shared" si="59"/>
        <v/>
      </c>
      <c r="C431" s="90"/>
      <c r="D431" s="85" t="str">
        <f t="shared" si="60"/>
        <v/>
      </c>
      <c r="E431" s="123"/>
      <c r="F431" s="85" t="str">
        <f t="shared" si="61"/>
        <v/>
      </c>
      <c r="G431" s="85" t="str">
        <f t="shared" si="62"/>
        <v/>
      </c>
      <c r="H431" s="122"/>
      <c r="I431" s="122"/>
      <c r="J431" s="122"/>
      <c r="K431" s="135"/>
      <c r="L431" s="134"/>
      <c r="M431" s="134"/>
      <c r="N431" s="135"/>
      <c r="O431" s="266"/>
      <c r="P431" s="89"/>
      <c r="R431" t="str">
        <f t="shared" si="63"/>
        <v/>
      </c>
      <c r="S431" t="str">
        <f t="shared" si="64"/>
        <v/>
      </c>
      <c r="T431" t="str">
        <f t="shared" si="65"/>
        <v/>
      </c>
      <c r="AD431" t="s">
        <v>828</v>
      </c>
      <c r="AE431" t="s">
        <v>829</v>
      </c>
      <c r="AF431" t="str">
        <f t="shared" si="66"/>
        <v>A679078</v>
      </c>
      <c r="AG431" t="str">
        <f>VLOOKUP(AF431,AKT!$C$4:$E$324,3,FALSE)</f>
        <v>0942</v>
      </c>
    </row>
    <row r="432" spans="1:33">
      <c r="A432" s="90"/>
      <c r="B432" s="85" t="str">
        <f t="shared" si="59"/>
        <v/>
      </c>
      <c r="C432" s="90"/>
      <c r="D432" s="85" t="str">
        <f t="shared" si="60"/>
        <v/>
      </c>
      <c r="E432" s="123"/>
      <c r="F432" s="85" t="str">
        <f t="shared" si="61"/>
        <v/>
      </c>
      <c r="G432" s="85" t="str">
        <f t="shared" si="62"/>
        <v/>
      </c>
      <c r="H432" s="122"/>
      <c r="I432" s="122"/>
      <c r="J432" s="122"/>
      <c r="K432" s="135"/>
      <c r="L432" s="134"/>
      <c r="M432" s="134"/>
      <c r="N432" s="135"/>
      <c r="O432" s="266"/>
      <c r="P432" s="89"/>
      <c r="R432" t="str">
        <f t="shared" si="63"/>
        <v/>
      </c>
      <c r="S432" t="str">
        <f t="shared" si="64"/>
        <v/>
      </c>
      <c r="T432" t="str">
        <f t="shared" si="65"/>
        <v/>
      </c>
      <c r="AD432" t="s">
        <v>830</v>
      </c>
      <c r="AE432" t="s">
        <v>831</v>
      </c>
      <c r="AF432" t="str">
        <f t="shared" si="66"/>
        <v>A679078</v>
      </c>
      <c r="AG432" t="str">
        <f>VLOOKUP(AF432,AKT!$C$4:$E$324,3,FALSE)</f>
        <v>0942</v>
      </c>
    </row>
    <row r="433" spans="1:33">
      <c r="A433" s="90"/>
      <c r="B433" s="85" t="str">
        <f t="shared" si="59"/>
        <v/>
      </c>
      <c r="C433" s="90"/>
      <c r="D433" s="85" t="str">
        <f t="shared" si="60"/>
        <v/>
      </c>
      <c r="E433" s="123"/>
      <c r="F433" s="85" t="str">
        <f t="shared" si="61"/>
        <v/>
      </c>
      <c r="G433" s="85" t="str">
        <f t="shared" si="62"/>
        <v/>
      </c>
      <c r="H433" s="122"/>
      <c r="I433" s="122"/>
      <c r="J433" s="122"/>
      <c r="K433" s="135"/>
      <c r="L433" s="134"/>
      <c r="M433" s="134"/>
      <c r="N433" s="135"/>
      <c r="O433" s="266"/>
      <c r="P433" s="89"/>
      <c r="R433" t="str">
        <f t="shared" si="63"/>
        <v/>
      </c>
      <c r="S433" t="str">
        <f t="shared" si="64"/>
        <v/>
      </c>
      <c r="T433" t="str">
        <f t="shared" si="65"/>
        <v/>
      </c>
      <c r="AD433" t="s">
        <v>832</v>
      </c>
      <c r="AE433" t="s">
        <v>833</v>
      </c>
      <c r="AF433" t="str">
        <f t="shared" si="66"/>
        <v>A679078</v>
      </c>
      <c r="AG433" t="str">
        <f>VLOOKUP(AF433,AKT!$C$4:$E$324,3,FALSE)</f>
        <v>0942</v>
      </c>
    </row>
    <row r="434" spans="1:33">
      <c r="A434" s="90"/>
      <c r="B434" s="85" t="str">
        <f t="shared" si="59"/>
        <v/>
      </c>
      <c r="C434" s="90"/>
      <c r="D434" s="85" t="str">
        <f t="shared" si="60"/>
        <v/>
      </c>
      <c r="E434" s="123"/>
      <c r="F434" s="85" t="str">
        <f t="shared" si="61"/>
        <v/>
      </c>
      <c r="G434" s="85" t="str">
        <f t="shared" si="62"/>
        <v/>
      </c>
      <c r="H434" s="122"/>
      <c r="I434" s="122"/>
      <c r="J434" s="122"/>
      <c r="K434" s="135"/>
      <c r="L434" s="134"/>
      <c r="M434" s="134"/>
      <c r="N434" s="135"/>
      <c r="O434" s="266"/>
      <c r="P434" s="89"/>
      <c r="R434" t="str">
        <f t="shared" si="63"/>
        <v/>
      </c>
      <c r="S434" t="str">
        <f t="shared" si="64"/>
        <v/>
      </c>
      <c r="T434" t="str">
        <f t="shared" si="65"/>
        <v/>
      </c>
      <c r="AD434" t="s">
        <v>834</v>
      </c>
      <c r="AE434" t="s">
        <v>835</v>
      </c>
      <c r="AF434" t="str">
        <f t="shared" si="66"/>
        <v>A679078</v>
      </c>
      <c r="AG434" t="str">
        <f>VLOOKUP(AF434,AKT!$C$4:$E$324,3,FALSE)</f>
        <v>0942</v>
      </c>
    </row>
    <row r="435" spans="1:33">
      <c r="A435" s="90"/>
      <c r="B435" s="85" t="str">
        <f t="shared" si="59"/>
        <v/>
      </c>
      <c r="C435" s="90"/>
      <c r="D435" s="85" t="str">
        <f t="shared" si="60"/>
        <v/>
      </c>
      <c r="E435" s="123"/>
      <c r="F435" s="85" t="str">
        <f t="shared" si="61"/>
        <v/>
      </c>
      <c r="G435" s="85" t="str">
        <f t="shared" si="62"/>
        <v/>
      </c>
      <c r="H435" s="122"/>
      <c r="I435" s="122"/>
      <c r="J435" s="122"/>
      <c r="K435" s="135"/>
      <c r="L435" s="134"/>
      <c r="M435" s="134"/>
      <c r="N435" s="135"/>
      <c r="O435" s="266"/>
      <c r="P435" s="89"/>
      <c r="R435" t="str">
        <f t="shared" si="63"/>
        <v/>
      </c>
      <c r="S435" t="str">
        <f t="shared" si="64"/>
        <v/>
      </c>
      <c r="T435" t="str">
        <f t="shared" si="65"/>
        <v/>
      </c>
      <c r="AD435" t="s">
        <v>836</v>
      </c>
      <c r="AE435" t="s">
        <v>837</v>
      </c>
      <c r="AF435" t="str">
        <f t="shared" si="66"/>
        <v>A679078</v>
      </c>
      <c r="AG435" t="str">
        <f>VLOOKUP(AF435,AKT!$C$4:$E$324,3,FALSE)</f>
        <v>0942</v>
      </c>
    </row>
    <row r="436" spans="1:33">
      <c r="A436" s="90"/>
      <c r="B436" s="85" t="str">
        <f t="shared" si="59"/>
        <v/>
      </c>
      <c r="C436" s="90"/>
      <c r="D436" s="85" t="str">
        <f t="shared" si="60"/>
        <v/>
      </c>
      <c r="E436" s="123"/>
      <c r="F436" s="85" t="str">
        <f t="shared" si="61"/>
        <v/>
      </c>
      <c r="G436" s="85" t="str">
        <f t="shared" si="62"/>
        <v/>
      </c>
      <c r="H436" s="122"/>
      <c r="I436" s="122"/>
      <c r="J436" s="122"/>
      <c r="K436" s="135"/>
      <c r="L436" s="134"/>
      <c r="M436" s="134"/>
      <c r="N436" s="135"/>
      <c r="O436" s="266"/>
      <c r="P436" s="89"/>
      <c r="R436" t="str">
        <f t="shared" si="63"/>
        <v/>
      </c>
      <c r="S436" t="str">
        <f t="shared" si="64"/>
        <v/>
      </c>
      <c r="T436" t="str">
        <f t="shared" si="65"/>
        <v/>
      </c>
      <c r="AD436" t="s">
        <v>838</v>
      </c>
      <c r="AE436" t="s">
        <v>839</v>
      </c>
      <c r="AF436" t="str">
        <f t="shared" si="66"/>
        <v>A679078</v>
      </c>
      <c r="AG436" t="str">
        <f>VLOOKUP(AF436,AKT!$C$4:$E$324,3,FALSE)</f>
        <v>0942</v>
      </c>
    </row>
    <row r="437" spans="1:33">
      <c r="A437" s="90"/>
      <c r="B437" s="85" t="str">
        <f t="shared" si="59"/>
        <v/>
      </c>
      <c r="C437" s="90"/>
      <c r="D437" s="85" t="str">
        <f t="shared" si="60"/>
        <v/>
      </c>
      <c r="E437" s="123"/>
      <c r="F437" s="85" t="str">
        <f t="shared" si="61"/>
        <v/>
      </c>
      <c r="G437" s="85" t="str">
        <f t="shared" si="62"/>
        <v/>
      </c>
      <c r="H437" s="122"/>
      <c r="I437" s="122"/>
      <c r="J437" s="122"/>
      <c r="K437" s="135"/>
      <c r="L437" s="134"/>
      <c r="M437" s="134"/>
      <c r="N437" s="135"/>
      <c r="O437" s="266"/>
      <c r="P437" s="89"/>
      <c r="R437" t="str">
        <f t="shared" si="63"/>
        <v/>
      </c>
      <c r="S437" t="str">
        <f t="shared" si="64"/>
        <v/>
      </c>
      <c r="T437" t="str">
        <f t="shared" si="65"/>
        <v/>
      </c>
      <c r="AD437" t="s">
        <v>840</v>
      </c>
      <c r="AE437" t="s">
        <v>841</v>
      </c>
      <c r="AF437" t="str">
        <f t="shared" si="66"/>
        <v>A679078</v>
      </c>
      <c r="AG437" t="str">
        <f>VLOOKUP(AF437,AKT!$C$4:$E$324,3,FALSE)</f>
        <v>0942</v>
      </c>
    </row>
    <row r="438" spans="1:33">
      <c r="A438" s="90"/>
      <c r="B438" s="85" t="str">
        <f t="shared" si="59"/>
        <v/>
      </c>
      <c r="C438" s="90"/>
      <c r="D438" s="85" t="str">
        <f t="shared" si="60"/>
        <v/>
      </c>
      <c r="E438" s="123"/>
      <c r="F438" s="85" t="str">
        <f t="shared" si="61"/>
        <v/>
      </c>
      <c r="G438" s="85" t="str">
        <f t="shared" si="62"/>
        <v/>
      </c>
      <c r="H438" s="122"/>
      <c r="I438" s="122"/>
      <c r="J438" s="122"/>
      <c r="K438" s="135"/>
      <c r="L438" s="134"/>
      <c r="M438" s="134"/>
      <c r="N438" s="135"/>
      <c r="O438" s="266"/>
      <c r="P438" s="89"/>
      <c r="R438" t="str">
        <f t="shared" si="63"/>
        <v/>
      </c>
      <c r="S438" t="str">
        <f t="shared" si="64"/>
        <v/>
      </c>
      <c r="T438" t="str">
        <f t="shared" si="65"/>
        <v/>
      </c>
      <c r="AD438" t="s">
        <v>842</v>
      </c>
      <c r="AE438" t="s">
        <v>843</v>
      </c>
      <c r="AF438" t="str">
        <f t="shared" si="66"/>
        <v>A679078</v>
      </c>
      <c r="AG438" t="str">
        <f>VLOOKUP(AF438,AKT!$C$4:$E$324,3,FALSE)</f>
        <v>0942</v>
      </c>
    </row>
    <row r="439" spans="1:33">
      <c r="A439" s="90"/>
      <c r="B439" s="85" t="str">
        <f t="shared" si="59"/>
        <v/>
      </c>
      <c r="C439" s="90"/>
      <c r="D439" s="85" t="str">
        <f t="shared" si="60"/>
        <v/>
      </c>
      <c r="E439" s="123"/>
      <c r="F439" s="85" t="str">
        <f t="shared" si="61"/>
        <v/>
      </c>
      <c r="G439" s="85" t="str">
        <f t="shared" si="62"/>
        <v/>
      </c>
      <c r="H439" s="122"/>
      <c r="I439" s="122"/>
      <c r="J439" s="122"/>
      <c r="K439" s="135"/>
      <c r="L439" s="134"/>
      <c r="M439" s="134"/>
      <c r="N439" s="135"/>
      <c r="O439" s="266"/>
      <c r="P439" s="89"/>
      <c r="R439" t="str">
        <f t="shared" si="63"/>
        <v/>
      </c>
      <c r="S439" t="str">
        <f t="shared" si="64"/>
        <v/>
      </c>
      <c r="T439" t="str">
        <f t="shared" si="65"/>
        <v/>
      </c>
      <c r="AD439" t="s">
        <v>844</v>
      </c>
      <c r="AE439" t="s">
        <v>845</v>
      </c>
      <c r="AF439" t="str">
        <f t="shared" si="66"/>
        <v>A679078</v>
      </c>
      <c r="AG439" t="str">
        <f>VLOOKUP(AF439,AKT!$C$4:$E$324,3,FALSE)</f>
        <v>0942</v>
      </c>
    </row>
    <row r="440" spans="1:33">
      <c r="A440" s="90"/>
      <c r="B440" s="85" t="str">
        <f t="shared" si="59"/>
        <v/>
      </c>
      <c r="C440" s="90"/>
      <c r="D440" s="85" t="str">
        <f t="shared" si="60"/>
        <v/>
      </c>
      <c r="E440" s="123"/>
      <c r="F440" s="85" t="str">
        <f t="shared" si="61"/>
        <v/>
      </c>
      <c r="G440" s="85" t="str">
        <f t="shared" si="62"/>
        <v/>
      </c>
      <c r="H440" s="122"/>
      <c r="I440" s="122"/>
      <c r="J440" s="122"/>
      <c r="K440" s="135"/>
      <c r="L440" s="134"/>
      <c r="M440" s="134"/>
      <c r="N440" s="135"/>
      <c r="O440" s="266"/>
      <c r="P440" s="89"/>
      <c r="R440" t="str">
        <f t="shared" si="63"/>
        <v/>
      </c>
      <c r="S440" t="str">
        <f t="shared" si="64"/>
        <v/>
      </c>
      <c r="T440" t="str">
        <f t="shared" si="65"/>
        <v/>
      </c>
      <c r="AD440" t="s">
        <v>846</v>
      </c>
      <c r="AE440" t="s">
        <v>847</v>
      </c>
      <c r="AF440" t="str">
        <f t="shared" si="66"/>
        <v>A679078</v>
      </c>
      <c r="AG440" t="str">
        <f>VLOOKUP(AF440,AKT!$C$4:$E$324,3,FALSE)</f>
        <v>0942</v>
      </c>
    </row>
    <row r="441" spans="1:33">
      <c r="A441" s="90"/>
      <c r="B441" s="85" t="str">
        <f t="shared" si="59"/>
        <v/>
      </c>
      <c r="C441" s="90"/>
      <c r="D441" s="85" t="str">
        <f t="shared" si="60"/>
        <v/>
      </c>
      <c r="E441" s="123"/>
      <c r="F441" s="85" t="str">
        <f t="shared" si="61"/>
        <v/>
      </c>
      <c r="G441" s="85" t="str">
        <f t="shared" si="62"/>
        <v/>
      </c>
      <c r="H441" s="122"/>
      <c r="I441" s="122"/>
      <c r="J441" s="122"/>
      <c r="K441" s="135"/>
      <c r="L441" s="134"/>
      <c r="M441" s="134"/>
      <c r="N441" s="135"/>
      <c r="O441" s="266"/>
      <c r="P441" s="89"/>
      <c r="R441" t="str">
        <f t="shared" si="63"/>
        <v/>
      </c>
      <c r="S441" t="str">
        <f t="shared" si="64"/>
        <v/>
      </c>
      <c r="T441" t="str">
        <f t="shared" si="65"/>
        <v/>
      </c>
      <c r="AD441" t="s">
        <v>848</v>
      </c>
      <c r="AE441" t="s">
        <v>849</v>
      </c>
      <c r="AF441" t="str">
        <f t="shared" si="66"/>
        <v>A679078</v>
      </c>
      <c r="AG441" t="str">
        <f>VLOOKUP(AF441,AKT!$C$4:$E$324,3,FALSE)</f>
        <v>0942</v>
      </c>
    </row>
    <row r="442" spans="1:33">
      <c r="A442" s="90"/>
      <c r="B442" s="85" t="str">
        <f t="shared" si="59"/>
        <v/>
      </c>
      <c r="C442" s="90"/>
      <c r="D442" s="85" t="str">
        <f t="shared" si="60"/>
        <v/>
      </c>
      <c r="E442" s="123"/>
      <c r="F442" s="85" t="str">
        <f t="shared" si="61"/>
        <v/>
      </c>
      <c r="G442" s="85" t="str">
        <f t="shared" si="62"/>
        <v/>
      </c>
      <c r="H442" s="122"/>
      <c r="I442" s="122"/>
      <c r="J442" s="122"/>
      <c r="K442" s="135"/>
      <c r="L442" s="134"/>
      <c r="M442" s="134"/>
      <c r="N442" s="135"/>
      <c r="O442" s="266"/>
      <c r="P442" s="89"/>
      <c r="R442" t="str">
        <f t="shared" si="63"/>
        <v/>
      </c>
      <c r="S442" t="str">
        <f t="shared" si="64"/>
        <v/>
      </c>
      <c r="T442" t="str">
        <f t="shared" si="65"/>
        <v/>
      </c>
      <c r="AD442" t="s">
        <v>850</v>
      </c>
      <c r="AE442" t="s">
        <v>851</v>
      </c>
      <c r="AF442" t="str">
        <f t="shared" si="66"/>
        <v>A679078</v>
      </c>
      <c r="AG442" t="str">
        <f>VLOOKUP(AF442,AKT!$C$4:$E$324,3,FALSE)</f>
        <v>0942</v>
      </c>
    </row>
    <row r="443" spans="1:33">
      <c r="A443" s="90"/>
      <c r="B443" s="85" t="str">
        <f t="shared" si="59"/>
        <v/>
      </c>
      <c r="C443" s="90"/>
      <c r="D443" s="85" t="str">
        <f t="shared" si="60"/>
        <v/>
      </c>
      <c r="E443" s="123"/>
      <c r="F443" s="85" t="str">
        <f t="shared" si="61"/>
        <v/>
      </c>
      <c r="G443" s="85" t="str">
        <f t="shared" si="62"/>
        <v/>
      </c>
      <c r="H443" s="122"/>
      <c r="I443" s="122"/>
      <c r="J443" s="122"/>
      <c r="K443" s="135"/>
      <c r="L443" s="134"/>
      <c r="M443" s="134"/>
      <c r="N443" s="135"/>
      <c r="O443" s="266"/>
      <c r="P443" s="89"/>
      <c r="R443" t="str">
        <f t="shared" si="63"/>
        <v/>
      </c>
      <c r="S443" t="str">
        <f t="shared" si="64"/>
        <v/>
      </c>
      <c r="T443" t="str">
        <f t="shared" si="65"/>
        <v/>
      </c>
      <c r="AD443" t="s">
        <v>852</v>
      </c>
      <c r="AE443" t="s">
        <v>853</v>
      </c>
      <c r="AF443" t="str">
        <f t="shared" si="66"/>
        <v>A679078</v>
      </c>
      <c r="AG443" t="str">
        <f>VLOOKUP(AF443,AKT!$C$4:$E$324,3,FALSE)</f>
        <v>0942</v>
      </c>
    </row>
    <row r="444" spans="1:33">
      <c r="A444" s="90"/>
      <c r="B444" s="85" t="str">
        <f t="shared" si="59"/>
        <v/>
      </c>
      <c r="C444" s="90"/>
      <c r="D444" s="85" t="str">
        <f t="shared" si="60"/>
        <v/>
      </c>
      <c r="E444" s="123"/>
      <c r="F444" s="85" t="str">
        <f t="shared" si="61"/>
        <v/>
      </c>
      <c r="G444" s="85" t="str">
        <f t="shared" si="62"/>
        <v/>
      </c>
      <c r="H444" s="122"/>
      <c r="I444" s="122"/>
      <c r="J444" s="122"/>
      <c r="K444" s="135"/>
      <c r="L444" s="134"/>
      <c r="M444" s="134"/>
      <c r="N444" s="135"/>
      <c r="O444" s="266"/>
      <c r="P444" s="89"/>
      <c r="R444" t="str">
        <f t="shared" si="63"/>
        <v/>
      </c>
      <c r="S444" t="str">
        <f t="shared" si="64"/>
        <v/>
      </c>
      <c r="T444" t="str">
        <f t="shared" si="65"/>
        <v/>
      </c>
      <c r="AD444" t="s">
        <v>854</v>
      </c>
      <c r="AE444" t="s">
        <v>855</v>
      </c>
      <c r="AF444" t="str">
        <f t="shared" si="66"/>
        <v>A679078</v>
      </c>
      <c r="AG444" t="str">
        <f>VLOOKUP(AF444,AKT!$C$4:$E$324,3,FALSE)</f>
        <v>0942</v>
      </c>
    </row>
    <row r="445" spans="1:33">
      <c r="A445" s="90"/>
      <c r="B445" s="85" t="str">
        <f t="shared" si="59"/>
        <v/>
      </c>
      <c r="C445" s="90"/>
      <c r="D445" s="85" t="str">
        <f t="shared" si="60"/>
        <v/>
      </c>
      <c r="E445" s="123"/>
      <c r="F445" s="85" t="str">
        <f t="shared" si="61"/>
        <v/>
      </c>
      <c r="G445" s="85" t="str">
        <f t="shared" si="62"/>
        <v/>
      </c>
      <c r="H445" s="122"/>
      <c r="I445" s="122"/>
      <c r="J445" s="122"/>
      <c r="K445" s="135"/>
      <c r="L445" s="134"/>
      <c r="M445" s="134"/>
      <c r="N445" s="135"/>
      <c r="O445" s="266"/>
      <c r="P445" s="89"/>
      <c r="R445" t="str">
        <f t="shared" si="63"/>
        <v/>
      </c>
      <c r="S445" t="str">
        <f t="shared" si="64"/>
        <v/>
      </c>
      <c r="T445" t="str">
        <f t="shared" si="65"/>
        <v/>
      </c>
      <c r="AD445" t="s">
        <v>856</v>
      </c>
      <c r="AE445" t="s">
        <v>857</v>
      </c>
      <c r="AF445" t="str">
        <f t="shared" si="66"/>
        <v>A679078</v>
      </c>
      <c r="AG445" t="str">
        <f>VLOOKUP(AF445,AKT!$C$4:$E$324,3,FALSE)</f>
        <v>0942</v>
      </c>
    </row>
    <row r="446" spans="1:33">
      <c r="A446" s="90"/>
      <c r="B446" s="85" t="str">
        <f t="shared" si="59"/>
        <v/>
      </c>
      <c r="C446" s="90"/>
      <c r="D446" s="85" t="str">
        <f t="shared" si="60"/>
        <v/>
      </c>
      <c r="E446" s="123"/>
      <c r="F446" s="85" t="str">
        <f t="shared" si="61"/>
        <v/>
      </c>
      <c r="G446" s="85" t="str">
        <f t="shared" si="62"/>
        <v/>
      </c>
      <c r="H446" s="122"/>
      <c r="I446" s="122"/>
      <c r="J446" s="122"/>
      <c r="K446" s="135"/>
      <c r="L446" s="134"/>
      <c r="M446" s="134"/>
      <c r="N446" s="135"/>
      <c r="O446" s="266"/>
      <c r="P446" s="89"/>
      <c r="R446" t="str">
        <f t="shared" si="63"/>
        <v/>
      </c>
      <c r="S446" t="str">
        <f t="shared" si="64"/>
        <v/>
      </c>
      <c r="T446" t="str">
        <f t="shared" si="65"/>
        <v/>
      </c>
      <c r="AD446" t="s">
        <v>858</v>
      </c>
      <c r="AE446" t="s">
        <v>859</v>
      </c>
      <c r="AF446" t="str">
        <f t="shared" si="66"/>
        <v>A679078</v>
      </c>
      <c r="AG446" t="str">
        <f>VLOOKUP(AF446,AKT!$C$4:$E$324,3,FALSE)</f>
        <v>0942</v>
      </c>
    </row>
    <row r="447" spans="1:33">
      <c r="A447" s="90"/>
      <c r="B447" s="85" t="str">
        <f t="shared" si="59"/>
        <v/>
      </c>
      <c r="C447" s="90"/>
      <c r="D447" s="85" t="str">
        <f t="shared" si="60"/>
        <v/>
      </c>
      <c r="E447" s="123"/>
      <c r="F447" s="85" t="str">
        <f t="shared" si="61"/>
        <v/>
      </c>
      <c r="G447" s="85" t="str">
        <f t="shared" si="62"/>
        <v/>
      </c>
      <c r="H447" s="122"/>
      <c r="I447" s="122"/>
      <c r="J447" s="122"/>
      <c r="K447" s="135"/>
      <c r="L447" s="134"/>
      <c r="M447" s="134"/>
      <c r="N447" s="135"/>
      <c r="O447" s="266"/>
      <c r="P447" s="89"/>
      <c r="R447" t="str">
        <f t="shared" si="63"/>
        <v/>
      </c>
      <c r="S447" t="str">
        <f t="shared" si="64"/>
        <v/>
      </c>
      <c r="T447" t="str">
        <f t="shared" si="65"/>
        <v/>
      </c>
      <c r="AD447" t="s">
        <v>1416</v>
      </c>
      <c r="AE447" t="s">
        <v>1417</v>
      </c>
      <c r="AF447" t="str">
        <f t="shared" si="66"/>
        <v>A679078</v>
      </c>
      <c r="AG447" t="str">
        <f>VLOOKUP(AF447,AKT!$C$4:$E$324,3,FALSE)</f>
        <v>0942</v>
      </c>
    </row>
    <row r="448" spans="1:33">
      <c r="A448" s="90"/>
      <c r="B448" s="85" t="str">
        <f t="shared" si="59"/>
        <v/>
      </c>
      <c r="C448" s="90"/>
      <c r="D448" s="85" t="str">
        <f t="shared" si="60"/>
        <v/>
      </c>
      <c r="E448" s="123"/>
      <c r="F448" s="85" t="str">
        <f t="shared" si="61"/>
        <v/>
      </c>
      <c r="G448" s="85" t="str">
        <f t="shared" si="62"/>
        <v/>
      </c>
      <c r="H448" s="122"/>
      <c r="I448" s="122"/>
      <c r="J448" s="122"/>
      <c r="K448" s="135"/>
      <c r="L448" s="134"/>
      <c r="M448" s="134"/>
      <c r="N448" s="135"/>
      <c r="O448" s="266"/>
      <c r="P448" s="89"/>
      <c r="R448" t="str">
        <f t="shared" si="63"/>
        <v/>
      </c>
      <c r="S448" t="str">
        <f t="shared" si="64"/>
        <v/>
      </c>
      <c r="T448" t="str">
        <f t="shared" si="65"/>
        <v/>
      </c>
      <c r="AD448" t="s">
        <v>1418</v>
      </c>
      <c r="AE448" t="s">
        <v>1419</v>
      </c>
      <c r="AF448" t="str">
        <f t="shared" si="66"/>
        <v>A679078</v>
      </c>
      <c r="AG448" t="str">
        <f>VLOOKUP(AF448,AKT!$C$4:$E$324,3,FALSE)</f>
        <v>0942</v>
      </c>
    </row>
    <row r="449" spans="1:33">
      <c r="A449" s="90"/>
      <c r="B449" s="85" t="str">
        <f t="shared" si="59"/>
        <v/>
      </c>
      <c r="C449" s="90"/>
      <c r="D449" s="85" t="str">
        <f t="shared" si="60"/>
        <v/>
      </c>
      <c r="E449" s="123"/>
      <c r="F449" s="85" t="str">
        <f t="shared" si="61"/>
        <v/>
      </c>
      <c r="G449" s="85" t="str">
        <f t="shared" si="62"/>
        <v/>
      </c>
      <c r="H449" s="122"/>
      <c r="I449" s="122"/>
      <c r="J449" s="122"/>
      <c r="K449" s="135"/>
      <c r="L449" s="134"/>
      <c r="M449" s="134"/>
      <c r="N449" s="135"/>
      <c r="O449" s="266"/>
      <c r="P449" s="89"/>
      <c r="R449" t="str">
        <f t="shared" si="63"/>
        <v/>
      </c>
      <c r="S449" t="str">
        <f t="shared" si="64"/>
        <v/>
      </c>
      <c r="T449" t="str">
        <f t="shared" si="65"/>
        <v/>
      </c>
      <c r="AD449" t="s">
        <v>1420</v>
      </c>
      <c r="AE449" t="s">
        <v>1421</v>
      </c>
      <c r="AF449" t="str">
        <f t="shared" si="66"/>
        <v>A679078</v>
      </c>
      <c r="AG449" t="str">
        <f>VLOOKUP(AF449,AKT!$C$4:$E$324,3,FALSE)</f>
        <v>0942</v>
      </c>
    </row>
    <row r="450" spans="1:33">
      <c r="A450" s="90"/>
      <c r="B450" s="85" t="str">
        <f t="shared" si="59"/>
        <v/>
      </c>
      <c r="C450" s="90"/>
      <c r="D450" s="85" t="str">
        <f t="shared" si="60"/>
        <v/>
      </c>
      <c r="E450" s="123"/>
      <c r="F450" s="85" t="str">
        <f t="shared" si="61"/>
        <v/>
      </c>
      <c r="G450" s="85" t="str">
        <f t="shared" si="62"/>
        <v/>
      </c>
      <c r="H450" s="122"/>
      <c r="I450" s="122"/>
      <c r="J450" s="122"/>
      <c r="K450" s="135"/>
      <c r="L450" s="134"/>
      <c r="M450" s="134"/>
      <c r="N450" s="135"/>
      <c r="O450" s="266"/>
      <c r="P450" s="89"/>
      <c r="R450" t="str">
        <f t="shared" si="63"/>
        <v/>
      </c>
      <c r="S450" t="str">
        <f t="shared" si="64"/>
        <v/>
      </c>
      <c r="T450" t="str">
        <f t="shared" si="65"/>
        <v/>
      </c>
      <c r="AD450" t="s">
        <v>1422</v>
      </c>
      <c r="AE450" t="s">
        <v>1423</v>
      </c>
      <c r="AF450" t="str">
        <f t="shared" si="66"/>
        <v>A679078</v>
      </c>
      <c r="AG450" t="str">
        <f>VLOOKUP(AF450,AKT!$C$4:$E$324,3,FALSE)</f>
        <v>0942</v>
      </c>
    </row>
    <row r="451" spans="1:33">
      <c r="A451" s="90"/>
      <c r="B451" s="85" t="str">
        <f t="shared" si="59"/>
        <v/>
      </c>
      <c r="C451" s="90"/>
      <c r="D451" s="85" t="str">
        <f t="shared" si="60"/>
        <v/>
      </c>
      <c r="E451" s="123"/>
      <c r="F451" s="85" t="str">
        <f t="shared" si="61"/>
        <v/>
      </c>
      <c r="G451" s="85" t="str">
        <f t="shared" si="62"/>
        <v/>
      </c>
      <c r="H451" s="122"/>
      <c r="I451" s="122"/>
      <c r="J451" s="122"/>
      <c r="K451" s="135"/>
      <c r="L451" s="134"/>
      <c r="M451" s="134"/>
      <c r="N451" s="135"/>
      <c r="O451" s="266"/>
      <c r="P451" s="89"/>
      <c r="R451" t="str">
        <f t="shared" si="63"/>
        <v/>
      </c>
      <c r="S451" t="str">
        <f t="shared" si="64"/>
        <v/>
      </c>
      <c r="T451" t="str">
        <f t="shared" si="65"/>
        <v/>
      </c>
      <c r="AD451" t="s">
        <v>1424</v>
      </c>
      <c r="AE451" t="s">
        <v>1425</v>
      </c>
      <c r="AF451" t="str">
        <f t="shared" si="66"/>
        <v>A679078</v>
      </c>
      <c r="AG451" t="str">
        <f>VLOOKUP(AF451,AKT!$C$4:$E$324,3,FALSE)</f>
        <v>0942</v>
      </c>
    </row>
    <row r="452" spans="1:33">
      <c r="A452" s="90"/>
      <c r="B452" s="85" t="str">
        <f t="shared" ref="B452:B501" si="67">IFERROR(VLOOKUP(A452,$U$6:$V$23,2,FALSE),"")</f>
        <v/>
      </c>
      <c r="C452" s="90"/>
      <c r="D452" s="85" t="str">
        <f t="shared" ref="D452:D501" si="68">IFERROR(VLOOKUP(C452,$X$5:$Z$129,2,FALSE),"")</f>
        <v/>
      </c>
      <c r="E452" s="123"/>
      <c r="F452" s="85" t="str">
        <f t="shared" ref="F452:F501" si="69">IFERROR(VLOOKUP(E452,$AD$6:$AE$1090,2,FALSE),"")</f>
        <v/>
      </c>
      <c r="G452" s="85" t="str">
        <f t="shared" ref="G452:G501" si="70">IFERROR(VLOOKUP(E452,$AD$6:$AG$1090,4,FALSE),"")</f>
        <v/>
      </c>
      <c r="H452" s="122"/>
      <c r="I452" s="122"/>
      <c r="J452" s="122"/>
      <c r="K452" s="135"/>
      <c r="L452" s="134"/>
      <c r="M452" s="134"/>
      <c r="N452" s="135"/>
      <c r="O452" s="266"/>
      <c r="P452" s="89"/>
      <c r="R452" t="str">
        <f t="shared" ref="R452:R501" si="71">LEFT(C452,3)</f>
        <v/>
      </c>
      <c r="S452" t="str">
        <f t="shared" ref="S452:S501" si="72">LEFT(C452,2)</f>
        <v/>
      </c>
      <c r="T452" t="str">
        <f t="shared" ref="T452:T501" si="73">MID(G452,2,2)</f>
        <v/>
      </c>
      <c r="AD452" t="s">
        <v>1426</v>
      </c>
      <c r="AE452" t="s">
        <v>1427</v>
      </c>
      <c r="AF452" t="str">
        <f t="shared" si="66"/>
        <v>A679078</v>
      </c>
      <c r="AG452" t="str">
        <f>VLOOKUP(AF452,AKT!$C$4:$E$324,3,FALSE)</f>
        <v>0942</v>
      </c>
    </row>
    <row r="453" spans="1:33">
      <c r="A453" s="90"/>
      <c r="B453" s="85" t="str">
        <f t="shared" si="67"/>
        <v/>
      </c>
      <c r="C453" s="90"/>
      <c r="D453" s="85" t="str">
        <f t="shared" si="68"/>
        <v/>
      </c>
      <c r="E453" s="123"/>
      <c r="F453" s="85" t="str">
        <f t="shared" si="69"/>
        <v/>
      </c>
      <c r="G453" s="85" t="str">
        <f t="shared" si="70"/>
        <v/>
      </c>
      <c r="H453" s="122"/>
      <c r="I453" s="122"/>
      <c r="J453" s="122"/>
      <c r="K453" s="135"/>
      <c r="L453" s="134"/>
      <c r="M453" s="134"/>
      <c r="N453" s="135"/>
      <c r="O453" s="266"/>
      <c r="P453" s="89"/>
      <c r="R453" t="str">
        <f t="shared" si="71"/>
        <v/>
      </c>
      <c r="S453" t="str">
        <f t="shared" si="72"/>
        <v/>
      </c>
      <c r="T453" t="str">
        <f t="shared" si="73"/>
        <v/>
      </c>
      <c r="AD453" t="s">
        <v>1428</v>
      </c>
      <c r="AE453" t="s">
        <v>1429</v>
      </c>
      <c r="AF453" t="str">
        <f t="shared" si="66"/>
        <v>A679078</v>
      </c>
      <c r="AG453" t="str">
        <f>VLOOKUP(AF453,AKT!$C$4:$E$324,3,FALSE)</f>
        <v>0942</v>
      </c>
    </row>
    <row r="454" spans="1:33">
      <c r="A454" s="90"/>
      <c r="B454" s="85" t="str">
        <f t="shared" si="67"/>
        <v/>
      </c>
      <c r="C454" s="90"/>
      <c r="D454" s="85" t="str">
        <f t="shared" si="68"/>
        <v/>
      </c>
      <c r="E454" s="123"/>
      <c r="F454" s="85" t="str">
        <f t="shared" si="69"/>
        <v/>
      </c>
      <c r="G454" s="85" t="str">
        <f t="shared" si="70"/>
        <v/>
      </c>
      <c r="H454" s="122"/>
      <c r="I454" s="122"/>
      <c r="J454" s="122"/>
      <c r="K454" s="135"/>
      <c r="L454" s="134"/>
      <c r="M454" s="134"/>
      <c r="N454" s="135"/>
      <c r="O454" s="266"/>
      <c r="P454" s="89"/>
      <c r="R454" t="str">
        <f t="shared" si="71"/>
        <v/>
      </c>
      <c r="S454" t="str">
        <f t="shared" si="72"/>
        <v/>
      </c>
      <c r="T454" t="str">
        <f t="shared" si="73"/>
        <v/>
      </c>
      <c r="AD454" t="s">
        <v>1430</v>
      </c>
      <c r="AE454" t="s">
        <v>1431</v>
      </c>
      <c r="AF454" t="str">
        <f t="shared" si="66"/>
        <v>A679078</v>
      </c>
      <c r="AG454" t="str">
        <f>VLOOKUP(AF454,AKT!$C$4:$E$324,3,FALSE)</f>
        <v>0942</v>
      </c>
    </row>
    <row r="455" spans="1:33">
      <c r="A455" s="90"/>
      <c r="B455" s="85" t="str">
        <f t="shared" si="67"/>
        <v/>
      </c>
      <c r="C455" s="90"/>
      <c r="D455" s="85" t="str">
        <f t="shared" si="68"/>
        <v/>
      </c>
      <c r="E455" s="123"/>
      <c r="F455" s="85" t="str">
        <f t="shared" si="69"/>
        <v/>
      </c>
      <c r="G455" s="85" t="str">
        <f t="shared" si="70"/>
        <v/>
      </c>
      <c r="H455" s="122"/>
      <c r="I455" s="122"/>
      <c r="J455" s="122"/>
      <c r="K455" s="135"/>
      <c r="L455" s="134"/>
      <c r="M455" s="134"/>
      <c r="N455" s="135"/>
      <c r="O455" s="266"/>
      <c r="P455" s="89"/>
      <c r="R455" t="str">
        <f t="shared" si="71"/>
        <v/>
      </c>
      <c r="S455" t="str">
        <f t="shared" si="72"/>
        <v/>
      </c>
      <c r="T455" t="str">
        <f t="shared" si="73"/>
        <v/>
      </c>
      <c r="AD455" t="s">
        <v>1432</v>
      </c>
      <c r="AE455" t="s">
        <v>1433</v>
      </c>
      <c r="AF455" t="str">
        <f t="shared" si="66"/>
        <v>A679078</v>
      </c>
      <c r="AG455" t="str">
        <f>VLOOKUP(AF455,AKT!$C$4:$E$324,3,FALSE)</f>
        <v>0942</v>
      </c>
    </row>
    <row r="456" spans="1:33">
      <c r="A456" s="90"/>
      <c r="B456" s="85" t="str">
        <f t="shared" si="67"/>
        <v/>
      </c>
      <c r="C456" s="90"/>
      <c r="D456" s="85" t="str">
        <f t="shared" si="68"/>
        <v/>
      </c>
      <c r="E456" s="123"/>
      <c r="F456" s="85" t="str">
        <f t="shared" si="69"/>
        <v/>
      </c>
      <c r="G456" s="85" t="str">
        <f t="shared" si="70"/>
        <v/>
      </c>
      <c r="H456" s="122"/>
      <c r="I456" s="122"/>
      <c r="J456" s="122"/>
      <c r="K456" s="135"/>
      <c r="L456" s="134"/>
      <c r="M456" s="134"/>
      <c r="N456" s="135"/>
      <c r="O456" s="266"/>
      <c r="P456" s="89"/>
      <c r="R456" t="str">
        <f t="shared" si="71"/>
        <v/>
      </c>
      <c r="S456" t="str">
        <f t="shared" si="72"/>
        <v/>
      </c>
      <c r="T456" t="str">
        <f t="shared" si="73"/>
        <v/>
      </c>
      <c r="AD456" t="s">
        <v>1434</v>
      </c>
      <c r="AE456" t="s">
        <v>1435</v>
      </c>
      <c r="AF456" t="str">
        <f t="shared" ref="AF456:AF519" si="74">LEFT(AD456,7)</f>
        <v>A679078</v>
      </c>
      <c r="AG456" t="str">
        <f>VLOOKUP(AF456,AKT!$C$4:$E$324,3,FALSE)</f>
        <v>0942</v>
      </c>
    </row>
    <row r="457" spans="1:33">
      <c r="A457" s="90"/>
      <c r="B457" s="85" t="str">
        <f t="shared" si="67"/>
        <v/>
      </c>
      <c r="C457" s="90"/>
      <c r="D457" s="85" t="str">
        <f t="shared" si="68"/>
        <v/>
      </c>
      <c r="E457" s="123"/>
      <c r="F457" s="85" t="str">
        <f t="shared" si="69"/>
        <v/>
      </c>
      <c r="G457" s="85" t="str">
        <f t="shared" si="70"/>
        <v/>
      </c>
      <c r="H457" s="122"/>
      <c r="I457" s="122"/>
      <c r="J457" s="122"/>
      <c r="K457" s="135"/>
      <c r="L457" s="134"/>
      <c r="M457" s="134"/>
      <c r="N457" s="135"/>
      <c r="O457" s="266"/>
      <c r="P457" s="89"/>
      <c r="R457" t="str">
        <f t="shared" si="71"/>
        <v/>
      </c>
      <c r="S457" t="str">
        <f t="shared" si="72"/>
        <v/>
      </c>
      <c r="T457" t="str">
        <f t="shared" si="73"/>
        <v/>
      </c>
      <c r="AD457" t="s">
        <v>1436</v>
      </c>
      <c r="AE457" t="s">
        <v>1437</v>
      </c>
      <c r="AF457" t="str">
        <f t="shared" si="74"/>
        <v>A679078</v>
      </c>
      <c r="AG457" t="str">
        <f>VLOOKUP(AF457,AKT!$C$4:$E$324,3,FALSE)</f>
        <v>0942</v>
      </c>
    </row>
    <row r="458" spans="1:33">
      <c r="A458" s="90"/>
      <c r="B458" s="85" t="str">
        <f t="shared" si="67"/>
        <v/>
      </c>
      <c r="C458" s="90"/>
      <c r="D458" s="85" t="str">
        <f t="shared" si="68"/>
        <v/>
      </c>
      <c r="E458" s="123"/>
      <c r="F458" s="85" t="str">
        <f t="shared" si="69"/>
        <v/>
      </c>
      <c r="G458" s="85" t="str">
        <f t="shared" si="70"/>
        <v/>
      </c>
      <c r="H458" s="122"/>
      <c r="I458" s="122"/>
      <c r="J458" s="122"/>
      <c r="K458" s="135"/>
      <c r="L458" s="134"/>
      <c r="M458" s="134"/>
      <c r="N458" s="135"/>
      <c r="O458" s="266"/>
      <c r="P458" s="89"/>
      <c r="R458" t="str">
        <f t="shared" si="71"/>
        <v/>
      </c>
      <c r="S458" t="str">
        <f t="shared" si="72"/>
        <v/>
      </c>
      <c r="T458" t="str">
        <f t="shared" si="73"/>
        <v/>
      </c>
      <c r="AD458" t="s">
        <v>1438</v>
      </c>
      <c r="AE458" t="s">
        <v>1439</v>
      </c>
      <c r="AF458" t="str">
        <f t="shared" si="74"/>
        <v>A679078</v>
      </c>
      <c r="AG458" t="str">
        <f>VLOOKUP(AF458,AKT!$C$4:$E$324,3,FALSE)</f>
        <v>0942</v>
      </c>
    </row>
    <row r="459" spans="1:33">
      <c r="A459" s="90"/>
      <c r="B459" s="85" t="str">
        <f t="shared" si="67"/>
        <v/>
      </c>
      <c r="C459" s="90"/>
      <c r="D459" s="85" t="str">
        <f t="shared" si="68"/>
        <v/>
      </c>
      <c r="E459" s="123"/>
      <c r="F459" s="85" t="str">
        <f t="shared" si="69"/>
        <v/>
      </c>
      <c r="G459" s="85" t="str">
        <f t="shared" si="70"/>
        <v/>
      </c>
      <c r="H459" s="122"/>
      <c r="I459" s="122"/>
      <c r="J459" s="122"/>
      <c r="K459" s="135"/>
      <c r="L459" s="134"/>
      <c r="M459" s="134"/>
      <c r="N459" s="135"/>
      <c r="O459" s="266"/>
      <c r="P459" s="89"/>
      <c r="R459" t="str">
        <f t="shared" si="71"/>
        <v/>
      </c>
      <c r="S459" t="str">
        <f t="shared" si="72"/>
        <v/>
      </c>
      <c r="T459" t="str">
        <f t="shared" si="73"/>
        <v/>
      </c>
      <c r="AD459" t="s">
        <v>1440</v>
      </c>
      <c r="AE459" t="s">
        <v>1441</v>
      </c>
      <c r="AF459" t="str">
        <f t="shared" si="74"/>
        <v>A679078</v>
      </c>
      <c r="AG459" t="str">
        <f>VLOOKUP(AF459,AKT!$C$4:$E$324,3,FALSE)</f>
        <v>0942</v>
      </c>
    </row>
    <row r="460" spans="1:33">
      <c r="A460" s="90"/>
      <c r="B460" s="85" t="str">
        <f t="shared" si="67"/>
        <v/>
      </c>
      <c r="C460" s="90"/>
      <c r="D460" s="85" t="str">
        <f t="shared" si="68"/>
        <v/>
      </c>
      <c r="E460" s="123"/>
      <c r="F460" s="85" t="str">
        <f t="shared" si="69"/>
        <v/>
      </c>
      <c r="G460" s="85" t="str">
        <f t="shared" si="70"/>
        <v/>
      </c>
      <c r="H460" s="122"/>
      <c r="I460" s="122"/>
      <c r="J460" s="122"/>
      <c r="K460" s="135"/>
      <c r="L460" s="134"/>
      <c r="M460" s="134"/>
      <c r="N460" s="135"/>
      <c r="O460" s="266"/>
      <c r="P460" s="89"/>
      <c r="R460" t="str">
        <f t="shared" si="71"/>
        <v/>
      </c>
      <c r="S460" t="str">
        <f t="shared" si="72"/>
        <v/>
      </c>
      <c r="T460" t="str">
        <f t="shared" si="73"/>
        <v/>
      </c>
      <c r="AD460" t="s">
        <v>1442</v>
      </c>
      <c r="AE460" t="s">
        <v>1443</v>
      </c>
      <c r="AF460" t="str">
        <f t="shared" si="74"/>
        <v>A679078</v>
      </c>
      <c r="AG460" t="str">
        <f>VLOOKUP(AF460,AKT!$C$4:$E$324,3,FALSE)</f>
        <v>0942</v>
      </c>
    </row>
    <row r="461" spans="1:33">
      <c r="A461" s="90"/>
      <c r="B461" s="85" t="str">
        <f t="shared" si="67"/>
        <v/>
      </c>
      <c r="C461" s="90"/>
      <c r="D461" s="85" t="str">
        <f t="shared" si="68"/>
        <v/>
      </c>
      <c r="E461" s="123"/>
      <c r="F461" s="85" t="str">
        <f t="shared" si="69"/>
        <v/>
      </c>
      <c r="G461" s="85" t="str">
        <f t="shared" si="70"/>
        <v/>
      </c>
      <c r="H461" s="122"/>
      <c r="I461" s="122"/>
      <c r="J461" s="122"/>
      <c r="K461" s="135"/>
      <c r="L461" s="134"/>
      <c r="M461" s="134"/>
      <c r="N461" s="135"/>
      <c r="O461" s="266"/>
      <c r="P461" s="89"/>
      <c r="R461" t="str">
        <f t="shared" si="71"/>
        <v/>
      </c>
      <c r="S461" t="str">
        <f t="shared" si="72"/>
        <v/>
      </c>
      <c r="T461" t="str">
        <f t="shared" si="73"/>
        <v/>
      </c>
      <c r="AD461" t="s">
        <v>1444</v>
      </c>
      <c r="AE461" t="s">
        <v>1445</v>
      </c>
      <c r="AF461" t="str">
        <f t="shared" si="74"/>
        <v>A679078</v>
      </c>
      <c r="AG461" t="str">
        <f>VLOOKUP(AF461,AKT!$C$4:$E$324,3,FALSE)</f>
        <v>0942</v>
      </c>
    </row>
    <row r="462" spans="1:33">
      <c r="A462" s="90"/>
      <c r="B462" s="85" t="str">
        <f t="shared" si="67"/>
        <v/>
      </c>
      <c r="C462" s="90"/>
      <c r="D462" s="85" t="str">
        <f t="shared" si="68"/>
        <v/>
      </c>
      <c r="E462" s="123"/>
      <c r="F462" s="85" t="str">
        <f t="shared" si="69"/>
        <v/>
      </c>
      <c r="G462" s="85" t="str">
        <f t="shared" si="70"/>
        <v/>
      </c>
      <c r="H462" s="122"/>
      <c r="I462" s="122"/>
      <c r="J462" s="122"/>
      <c r="K462" s="135"/>
      <c r="L462" s="134"/>
      <c r="M462" s="134"/>
      <c r="N462" s="135"/>
      <c r="O462" s="266"/>
      <c r="P462" s="89"/>
      <c r="R462" t="str">
        <f t="shared" si="71"/>
        <v/>
      </c>
      <c r="S462" t="str">
        <f t="shared" si="72"/>
        <v/>
      </c>
      <c r="T462" t="str">
        <f t="shared" si="73"/>
        <v/>
      </c>
      <c r="AD462" t="s">
        <v>1446</v>
      </c>
      <c r="AE462" t="s">
        <v>1447</v>
      </c>
      <c r="AF462" t="str">
        <f t="shared" si="74"/>
        <v>A679078</v>
      </c>
      <c r="AG462" t="str">
        <f>VLOOKUP(AF462,AKT!$C$4:$E$324,3,FALSE)</f>
        <v>0942</v>
      </c>
    </row>
    <row r="463" spans="1:33">
      <c r="A463" s="90"/>
      <c r="B463" s="85" t="str">
        <f t="shared" si="67"/>
        <v/>
      </c>
      <c r="C463" s="90"/>
      <c r="D463" s="85" t="str">
        <f t="shared" si="68"/>
        <v/>
      </c>
      <c r="E463" s="123"/>
      <c r="F463" s="85" t="str">
        <f t="shared" si="69"/>
        <v/>
      </c>
      <c r="G463" s="85" t="str">
        <f t="shared" si="70"/>
        <v/>
      </c>
      <c r="H463" s="122"/>
      <c r="I463" s="122"/>
      <c r="J463" s="122"/>
      <c r="K463" s="135"/>
      <c r="L463" s="134"/>
      <c r="M463" s="134"/>
      <c r="N463" s="135"/>
      <c r="O463" s="266"/>
      <c r="P463" s="89"/>
      <c r="R463" t="str">
        <f t="shared" si="71"/>
        <v/>
      </c>
      <c r="S463" t="str">
        <f t="shared" si="72"/>
        <v/>
      </c>
      <c r="T463" t="str">
        <f t="shared" si="73"/>
        <v/>
      </c>
      <c r="AD463" t="s">
        <v>1448</v>
      </c>
      <c r="AE463" t="s">
        <v>1449</v>
      </c>
      <c r="AF463" t="str">
        <f t="shared" si="74"/>
        <v>A679078</v>
      </c>
      <c r="AG463" t="str">
        <f>VLOOKUP(AF463,AKT!$C$4:$E$324,3,FALSE)</f>
        <v>0942</v>
      </c>
    </row>
    <row r="464" spans="1:33">
      <c r="A464" s="90"/>
      <c r="B464" s="85" t="str">
        <f t="shared" si="67"/>
        <v/>
      </c>
      <c r="C464" s="90"/>
      <c r="D464" s="85" t="str">
        <f t="shared" si="68"/>
        <v/>
      </c>
      <c r="E464" s="123"/>
      <c r="F464" s="85" t="str">
        <f t="shared" si="69"/>
        <v/>
      </c>
      <c r="G464" s="85" t="str">
        <f t="shared" si="70"/>
        <v/>
      </c>
      <c r="H464" s="122"/>
      <c r="I464" s="122"/>
      <c r="J464" s="122"/>
      <c r="K464" s="135"/>
      <c r="L464" s="134"/>
      <c r="M464" s="134"/>
      <c r="N464" s="135"/>
      <c r="O464" s="266"/>
      <c r="P464" s="89"/>
      <c r="R464" t="str">
        <f t="shared" si="71"/>
        <v/>
      </c>
      <c r="S464" t="str">
        <f t="shared" si="72"/>
        <v/>
      </c>
      <c r="T464" t="str">
        <f t="shared" si="73"/>
        <v/>
      </c>
      <c r="AD464" t="s">
        <v>1450</v>
      </c>
      <c r="AE464" t="s">
        <v>1451</v>
      </c>
      <c r="AF464" t="str">
        <f t="shared" si="74"/>
        <v>A679078</v>
      </c>
      <c r="AG464" t="str">
        <f>VLOOKUP(AF464,AKT!$C$4:$E$324,3,FALSE)</f>
        <v>0942</v>
      </c>
    </row>
    <row r="465" spans="1:33">
      <c r="A465" s="90"/>
      <c r="B465" s="85" t="str">
        <f t="shared" si="67"/>
        <v/>
      </c>
      <c r="C465" s="90"/>
      <c r="D465" s="85" t="str">
        <f t="shared" si="68"/>
        <v/>
      </c>
      <c r="E465" s="123"/>
      <c r="F465" s="85" t="str">
        <f t="shared" si="69"/>
        <v/>
      </c>
      <c r="G465" s="85" t="str">
        <f t="shared" si="70"/>
        <v/>
      </c>
      <c r="H465" s="122"/>
      <c r="I465" s="122"/>
      <c r="J465" s="122"/>
      <c r="K465" s="135"/>
      <c r="L465" s="134"/>
      <c r="M465" s="134"/>
      <c r="N465" s="135"/>
      <c r="O465" s="266"/>
      <c r="P465" s="89"/>
      <c r="R465" t="str">
        <f t="shared" si="71"/>
        <v/>
      </c>
      <c r="S465" t="str">
        <f t="shared" si="72"/>
        <v/>
      </c>
      <c r="T465" t="str">
        <f t="shared" si="73"/>
        <v/>
      </c>
      <c r="AD465" t="s">
        <v>1452</v>
      </c>
      <c r="AE465" t="s">
        <v>1453</v>
      </c>
      <c r="AF465" t="str">
        <f t="shared" si="74"/>
        <v>A679078</v>
      </c>
      <c r="AG465" t="str">
        <f>VLOOKUP(AF465,AKT!$C$4:$E$324,3,FALSE)</f>
        <v>0942</v>
      </c>
    </row>
    <row r="466" spans="1:33">
      <c r="A466" s="90"/>
      <c r="B466" s="85" t="str">
        <f t="shared" si="67"/>
        <v/>
      </c>
      <c r="C466" s="90"/>
      <c r="D466" s="85" t="str">
        <f t="shared" si="68"/>
        <v/>
      </c>
      <c r="E466" s="123"/>
      <c r="F466" s="85" t="str">
        <f t="shared" si="69"/>
        <v/>
      </c>
      <c r="G466" s="85" t="str">
        <f t="shared" si="70"/>
        <v/>
      </c>
      <c r="H466" s="122"/>
      <c r="I466" s="122"/>
      <c r="J466" s="122"/>
      <c r="K466" s="135"/>
      <c r="L466" s="134"/>
      <c r="M466" s="134"/>
      <c r="N466" s="135"/>
      <c r="O466" s="266"/>
      <c r="P466" s="89"/>
      <c r="R466" t="str">
        <f t="shared" si="71"/>
        <v/>
      </c>
      <c r="S466" t="str">
        <f t="shared" si="72"/>
        <v/>
      </c>
      <c r="T466" t="str">
        <f t="shared" si="73"/>
        <v/>
      </c>
      <c r="AD466" t="s">
        <v>1454</v>
      </c>
      <c r="AE466" t="s">
        <v>1455</v>
      </c>
      <c r="AF466" t="str">
        <f t="shared" si="74"/>
        <v>A679078</v>
      </c>
      <c r="AG466" t="str">
        <f>VLOOKUP(AF466,AKT!$C$4:$E$324,3,FALSE)</f>
        <v>0942</v>
      </c>
    </row>
    <row r="467" spans="1:33">
      <c r="A467" s="90"/>
      <c r="B467" s="85" t="str">
        <f t="shared" si="67"/>
        <v/>
      </c>
      <c r="C467" s="90"/>
      <c r="D467" s="85" t="str">
        <f t="shared" si="68"/>
        <v/>
      </c>
      <c r="E467" s="123"/>
      <c r="F467" s="85" t="str">
        <f t="shared" si="69"/>
        <v/>
      </c>
      <c r="G467" s="85" t="str">
        <f t="shared" si="70"/>
        <v/>
      </c>
      <c r="H467" s="122"/>
      <c r="I467" s="122"/>
      <c r="J467" s="122"/>
      <c r="K467" s="135"/>
      <c r="L467" s="134"/>
      <c r="M467" s="134"/>
      <c r="N467" s="135"/>
      <c r="O467" s="135"/>
      <c r="P467" s="89"/>
      <c r="R467" t="str">
        <f t="shared" si="71"/>
        <v/>
      </c>
      <c r="S467" t="str">
        <f t="shared" si="72"/>
        <v/>
      </c>
      <c r="T467" t="str">
        <f t="shared" si="73"/>
        <v/>
      </c>
      <c r="AD467" t="s">
        <v>1456</v>
      </c>
      <c r="AE467" t="s">
        <v>1457</v>
      </c>
      <c r="AF467" t="str">
        <f t="shared" si="74"/>
        <v>A679078</v>
      </c>
      <c r="AG467" t="str">
        <f>VLOOKUP(AF467,AKT!$C$4:$E$324,3,FALSE)</f>
        <v>0942</v>
      </c>
    </row>
    <row r="468" spans="1:33">
      <c r="A468" s="90"/>
      <c r="B468" s="85" t="str">
        <f t="shared" si="67"/>
        <v/>
      </c>
      <c r="C468" s="90"/>
      <c r="D468" s="85" t="str">
        <f t="shared" si="68"/>
        <v/>
      </c>
      <c r="E468" s="123"/>
      <c r="F468" s="85" t="str">
        <f t="shared" si="69"/>
        <v/>
      </c>
      <c r="G468" s="85" t="str">
        <f t="shared" si="70"/>
        <v/>
      </c>
      <c r="H468" s="122"/>
      <c r="I468" s="122"/>
      <c r="J468" s="122"/>
      <c r="K468" s="135"/>
      <c r="L468" s="134"/>
      <c r="M468" s="134"/>
      <c r="N468" s="135"/>
      <c r="O468" s="135"/>
      <c r="P468" s="89"/>
      <c r="R468" t="str">
        <f t="shared" si="71"/>
        <v/>
      </c>
      <c r="S468" t="str">
        <f t="shared" si="72"/>
        <v/>
      </c>
      <c r="T468" t="str">
        <f t="shared" si="73"/>
        <v/>
      </c>
      <c r="AD468" t="s">
        <v>1458</v>
      </c>
      <c r="AE468" t="s">
        <v>1459</v>
      </c>
      <c r="AF468" t="str">
        <f t="shared" si="74"/>
        <v>A679078</v>
      </c>
      <c r="AG468" t="str">
        <f>VLOOKUP(AF468,AKT!$C$4:$E$324,3,FALSE)</f>
        <v>0942</v>
      </c>
    </row>
    <row r="469" spans="1:33">
      <c r="A469" s="90"/>
      <c r="B469" s="85" t="str">
        <f t="shared" si="67"/>
        <v/>
      </c>
      <c r="C469" s="90"/>
      <c r="D469" s="85" t="str">
        <f t="shared" si="68"/>
        <v/>
      </c>
      <c r="E469" s="123"/>
      <c r="F469" s="85" t="str">
        <f t="shared" si="69"/>
        <v/>
      </c>
      <c r="G469" s="85" t="str">
        <f t="shared" si="70"/>
        <v/>
      </c>
      <c r="H469" s="122"/>
      <c r="I469" s="122"/>
      <c r="J469" s="122"/>
      <c r="K469" s="135"/>
      <c r="L469" s="134"/>
      <c r="M469" s="134"/>
      <c r="N469" s="135"/>
      <c r="O469" s="135"/>
      <c r="P469" s="89"/>
      <c r="R469" t="str">
        <f t="shared" si="71"/>
        <v/>
      </c>
      <c r="S469" t="str">
        <f t="shared" si="72"/>
        <v/>
      </c>
      <c r="T469" t="str">
        <f t="shared" si="73"/>
        <v/>
      </c>
      <c r="AD469" t="s">
        <v>1460</v>
      </c>
      <c r="AE469" t="s">
        <v>1461</v>
      </c>
      <c r="AF469" t="str">
        <f t="shared" si="74"/>
        <v>A679078</v>
      </c>
      <c r="AG469" t="str">
        <f>VLOOKUP(AF469,AKT!$C$4:$E$324,3,FALSE)</f>
        <v>0942</v>
      </c>
    </row>
    <row r="470" spans="1:33">
      <c r="A470" s="90"/>
      <c r="B470" s="85" t="str">
        <f t="shared" si="67"/>
        <v/>
      </c>
      <c r="C470" s="90"/>
      <c r="D470" s="85" t="str">
        <f t="shared" si="68"/>
        <v/>
      </c>
      <c r="E470" s="123"/>
      <c r="F470" s="85" t="str">
        <f t="shared" si="69"/>
        <v/>
      </c>
      <c r="G470" s="85" t="str">
        <f t="shared" si="70"/>
        <v/>
      </c>
      <c r="H470" s="122"/>
      <c r="I470" s="122"/>
      <c r="J470" s="122"/>
      <c r="K470" s="135"/>
      <c r="L470" s="134"/>
      <c r="M470" s="134"/>
      <c r="N470" s="135"/>
      <c r="O470" s="135"/>
      <c r="P470" s="89"/>
      <c r="R470" t="str">
        <f t="shared" si="71"/>
        <v/>
      </c>
      <c r="S470" t="str">
        <f t="shared" si="72"/>
        <v/>
      </c>
      <c r="T470" t="str">
        <f t="shared" si="73"/>
        <v/>
      </c>
      <c r="AD470" t="s">
        <v>1462</v>
      </c>
      <c r="AE470" t="s">
        <v>1463</v>
      </c>
      <c r="AF470" t="str">
        <f t="shared" si="74"/>
        <v>A679078</v>
      </c>
      <c r="AG470" t="str">
        <f>VLOOKUP(AF470,AKT!$C$4:$E$324,3,FALSE)</f>
        <v>0942</v>
      </c>
    </row>
    <row r="471" spans="1:33">
      <c r="A471" s="90"/>
      <c r="B471" s="85" t="str">
        <f t="shared" si="67"/>
        <v/>
      </c>
      <c r="C471" s="90"/>
      <c r="D471" s="85" t="str">
        <f t="shared" si="68"/>
        <v/>
      </c>
      <c r="E471" s="123"/>
      <c r="F471" s="85" t="str">
        <f t="shared" si="69"/>
        <v/>
      </c>
      <c r="G471" s="85" t="str">
        <f t="shared" si="70"/>
        <v/>
      </c>
      <c r="H471" s="122"/>
      <c r="I471" s="122"/>
      <c r="J471" s="122"/>
      <c r="K471" s="135"/>
      <c r="L471" s="134"/>
      <c r="M471" s="134"/>
      <c r="N471" s="135"/>
      <c r="O471" s="135"/>
      <c r="P471" s="89"/>
      <c r="R471" t="str">
        <f t="shared" si="71"/>
        <v/>
      </c>
      <c r="S471" t="str">
        <f t="shared" si="72"/>
        <v/>
      </c>
      <c r="T471" t="str">
        <f t="shared" si="73"/>
        <v/>
      </c>
      <c r="AD471" t="s">
        <v>1464</v>
      </c>
      <c r="AE471" t="s">
        <v>1465</v>
      </c>
      <c r="AF471" t="str">
        <f t="shared" si="74"/>
        <v>A679078</v>
      </c>
      <c r="AG471" t="str">
        <f>VLOOKUP(AF471,AKT!$C$4:$E$324,3,FALSE)</f>
        <v>0942</v>
      </c>
    </row>
    <row r="472" spans="1:33">
      <c r="A472" s="90"/>
      <c r="B472" s="85" t="str">
        <f t="shared" si="67"/>
        <v/>
      </c>
      <c r="C472" s="90"/>
      <c r="D472" s="85" t="str">
        <f t="shared" si="68"/>
        <v/>
      </c>
      <c r="E472" s="123"/>
      <c r="F472" s="85" t="str">
        <f t="shared" si="69"/>
        <v/>
      </c>
      <c r="G472" s="85" t="str">
        <f t="shared" si="70"/>
        <v/>
      </c>
      <c r="H472" s="122"/>
      <c r="I472" s="122"/>
      <c r="J472" s="122"/>
      <c r="K472" s="135"/>
      <c r="L472" s="134"/>
      <c r="M472" s="134"/>
      <c r="N472" s="135"/>
      <c r="O472" s="135"/>
      <c r="P472" s="89"/>
      <c r="R472" t="str">
        <f t="shared" si="71"/>
        <v/>
      </c>
      <c r="S472" t="str">
        <f t="shared" si="72"/>
        <v/>
      </c>
      <c r="T472" t="str">
        <f t="shared" si="73"/>
        <v/>
      </c>
      <c r="AD472" t="s">
        <v>1466</v>
      </c>
      <c r="AE472" t="s">
        <v>1467</v>
      </c>
      <c r="AF472" t="str">
        <f t="shared" si="74"/>
        <v>A679078</v>
      </c>
      <c r="AG472" t="str">
        <f>VLOOKUP(AF472,AKT!$C$4:$E$324,3,FALSE)</f>
        <v>0942</v>
      </c>
    </row>
    <row r="473" spans="1:33">
      <c r="A473" s="90"/>
      <c r="B473" s="85" t="str">
        <f t="shared" si="67"/>
        <v/>
      </c>
      <c r="C473" s="90"/>
      <c r="D473" s="85" t="str">
        <f t="shared" si="68"/>
        <v/>
      </c>
      <c r="E473" s="123"/>
      <c r="F473" s="85" t="str">
        <f t="shared" si="69"/>
        <v/>
      </c>
      <c r="G473" s="85" t="str">
        <f t="shared" si="70"/>
        <v/>
      </c>
      <c r="H473" s="122"/>
      <c r="I473" s="122"/>
      <c r="J473" s="122"/>
      <c r="K473" s="135"/>
      <c r="L473" s="134"/>
      <c r="M473" s="134"/>
      <c r="N473" s="135"/>
      <c r="O473" s="135"/>
      <c r="P473" s="89"/>
      <c r="R473" t="str">
        <f t="shared" si="71"/>
        <v/>
      </c>
      <c r="S473" t="str">
        <f t="shared" si="72"/>
        <v/>
      </c>
      <c r="T473" t="str">
        <f t="shared" si="73"/>
        <v/>
      </c>
      <c r="AD473" t="s">
        <v>1468</v>
      </c>
      <c r="AE473" t="s">
        <v>1469</v>
      </c>
      <c r="AF473" t="str">
        <f t="shared" si="74"/>
        <v>A679078</v>
      </c>
      <c r="AG473" t="str">
        <f>VLOOKUP(AF473,AKT!$C$4:$E$324,3,FALSE)</f>
        <v>0942</v>
      </c>
    </row>
    <row r="474" spans="1:33">
      <c r="A474" s="90"/>
      <c r="B474" s="85" t="str">
        <f t="shared" si="67"/>
        <v/>
      </c>
      <c r="C474" s="90"/>
      <c r="D474" s="85" t="str">
        <f t="shared" si="68"/>
        <v/>
      </c>
      <c r="E474" s="123"/>
      <c r="F474" s="85" t="str">
        <f t="shared" si="69"/>
        <v/>
      </c>
      <c r="G474" s="85" t="str">
        <f t="shared" si="70"/>
        <v/>
      </c>
      <c r="H474" s="122"/>
      <c r="I474" s="122"/>
      <c r="J474" s="122"/>
      <c r="K474" s="135"/>
      <c r="L474" s="134"/>
      <c r="M474" s="134"/>
      <c r="N474" s="135"/>
      <c r="O474" s="135"/>
      <c r="P474" s="89"/>
      <c r="R474" t="str">
        <f t="shared" si="71"/>
        <v/>
      </c>
      <c r="S474" t="str">
        <f t="shared" si="72"/>
        <v/>
      </c>
      <c r="T474" t="str">
        <f t="shared" si="73"/>
        <v/>
      </c>
      <c r="AD474" t="s">
        <v>1470</v>
      </c>
      <c r="AE474" t="s">
        <v>1471</v>
      </c>
      <c r="AF474" t="str">
        <f t="shared" si="74"/>
        <v>A679078</v>
      </c>
      <c r="AG474" t="str">
        <f>VLOOKUP(AF474,AKT!$C$4:$E$324,3,FALSE)</f>
        <v>0942</v>
      </c>
    </row>
    <row r="475" spans="1:33">
      <c r="A475" s="90"/>
      <c r="B475" s="85" t="str">
        <f t="shared" si="67"/>
        <v/>
      </c>
      <c r="C475" s="90"/>
      <c r="D475" s="85" t="str">
        <f t="shared" si="68"/>
        <v/>
      </c>
      <c r="E475" s="123"/>
      <c r="F475" s="85" t="str">
        <f t="shared" si="69"/>
        <v/>
      </c>
      <c r="G475" s="85" t="str">
        <f t="shared" si="70"/>
        <v/>
      </c>
      <c r="H475" s="122"/>
      <c r="I475" s="122"/>
      <c r="J475" s="122"/>
      <c r="K475" s="135"/>
      <c r="L475" s="134"/>
      <c r="M475" s="134"/>
      <c r="N475" s="135"/>
      <c r="O475" s="135"/>
      <c r="P475" s="89"/>
      <c r="R475" t="str">
        <f t="shared" si="71"/>
        <v/>
      </c>
      <c r="S475" t="str">
        <f t="shared" si="72"/>
        <v/>
      </c>
      <c r="T475" t="str">
        <f t="shared" si="73"/>
        <v/>
      </c>
      <c r="AD475" t="s">
        <v>1472</v>
      </c>
      <c r="AE475" t="s">
        <v>1473</v>
      </c>
      <c r="AF475" t="str">
        <f t="shared" si="74"/>
        <v>A679078</v>
      </c>
      <c r="AG475" t="str">
        <f>VLOOKUP(AF475,AKT!$C$4:$E$324,3,FALSE)</f>
        <v>0942</v>
      </c>
    </row>
    <row r="476" spans="1:33">
      <c r="A476" s="90"/>
      <c r="B476" s="85" t="str">
        <f t="shared" si="67"/>
        <v/>
      </c>
      <c r="C476" s="90"/>
      <c r="D476" s="85" t="str">
        <f t="shared" si="68"/>
        <v/>
      </c>
      <c r="E476" s="123"/>
      <c r="F476" s="85" t="str">
        <f t="shared" si="69"/>
        <v/>
      </c>
      <c r="G476" s="85" t="str">
        <f t="shared" si="70"/>
        <v/>
      </c>
      <c r="H476" s="122"/>
      <c r="I476" s="122"/>
      <c r="J476" s="122"/>
      <c r="K476" s="135"/>
      <c r="L476" s="134"/>
      <c r="M476" s="134"/>
      <c r="N476" s="135"/>
      <c r="O476" s="135"/>
      <c r="P476" s="89"/>
      <c r="R476" t="str">
        <f t="shared" si="71"/>
        <v/>
      </c>
      <c r="S476" t="str">
        <f t="shared" si="72"/>
        <v/>
      </c>
      <c r="T476" t="str">
        <f t="shared" si="73"/>
        <v/>
      </c>
      <c r="AD476" t="s">
        <v>1474</v>
      </c>
      <c r="AE476" t="s">
        <v>1475</v>
      </c>
      <c r="AF476" t="str">
        <f t="shared" si="74"/>
        <v>A679078</v>
      </c>
      <c r="AG476" t="str">
        <f>VLOOKUP(AF476,AKT!$C$4:$E$324,3,FALSE)</f>
        <v>0942</v>
      </c>
    </row>
    <row r="477" spans="1:33">
      <c r="A477" s="90"/>
      <c r="B477" s="85" t="str">
        <f t="shared" si="67"/>
        <v/>
      </c>
      <c r="C477" s="90"/>
      <c r="D477" s="85" t="str">
        <f t="shared" si="68"/>
        <v/>
      </c>
      <c r="E477" s="123"/>
      <c r="F477" s="85" t="str">
        <f t="shared" si="69"/>
        <v/>
      </c>
      <c r="G477" s="85" t="str">
        <f t="shared" si="70"/>
        <v/>
      </c>
      <c r="H477" s="122"/>
      <c r="I477" s="122"/>
      <c r="J477" s="122"/>
      <c r="K477" s="135"/>
      <c r="L477" s="134"/>
      <c r="M477" s="134"/>
      <c r="N477" s="135"/>
      <c r="O477" s="135"/>
      <c r="P477" s="89"/>
      <c r="R477" t="str">
        <f t="shared" si="71"/>
        <v/>
      </c>
      <c r="S477" t="str">
        <f t="shared" si="72"/>
        <v/>
      </c>
      <c r="T477" t="str">
        <f t="shared" si="73"/>
        <v/>
      </c>
      <c r="AD477" t="s">
        <v>1476</v>
      </c>
      <c r="AE477" t="s">
        <v>1477</v>
      </c>
      <c r="AF477" t="str">
        <f t="shared" si="74"/>
        <v>A679078</v>
      </c>
      <c r="AG477" t="str">
        <f>VLOOKUP(AF477,AKT!$C$4:$E$324,3,FALSE)</f>
        <v>0942</v>
      </c>
    </row>
    <row r="478" spans="1:33">
      <c r="A478" s="90"/>
      <c r="B478" s="85" t="str">
        <f t="shared" si="67"/>
        <v/>
      </c>
      <c r="C478" s="90"/>
      <c r="D478" s="85" t="str">
        <f t="shared" si="68"/>
        <v/>
      </c>
      <c r="E478" s="123"/>
      <c r="F478" s="85" t="str">
        <f t="shared" si="69"/>
        <v/>
      </c>
      <c r="G478" s="85" t="str">
        <f t="shared" si="70"/>
        <v/>
      </c>
      <c r="H478" s="122"/>
      <c r="I478" s="122"/>
      <c r="J478" s="122"/>
      <c r="K478" s="135"/>
      <c r="L478" s="134"/>
      <c r="M478" s="134"/>
      <c r="N478" s="135"/>
      <c r="O478" s="135"/>
      <c r="P478" s="89"/>
      <c r="R478" t="str">
        <f t="shared" si="71"/>
        <v/>
      </c>
      <c r="S478" t="str">
        <f t="shared" si="72"/>
        <v/>
      </c>
      <c r="T478" t="str">
        <f t="shared" si="73"/>
        <v/>
      </c>
      <c r="AD478" t="s">
        <v>1478</v>
      </c>
      <c r="AE478" t="s">
        <v>1479</v>
      </c>
      <c r="AF478" t="str">
        <f t="shared" si="74"/>
        <v>A679078</v>
      </c>
      <c r="AG478" t="str">
        <f>VLOOKUP(AF478,AKT!$C$4:$E$324,3,FALSE)</f>
        <v>0942</v>
      </c>
    </row>
    <row r="479" spans="1:33">
      <c r="A479" s="90"/>
      <c r="B479" s="85" t="str">
        <f t="shared" si="67"/>
        <v/>
      </c>
      <c r="C479" s="90"/>
      <c r="D479" s="85" t="str">
        <f t="shared" si="68"/>
        <v/>
      </c>
      <c r="E479" s="123"/>
      <c r="F479" s="85" t="str">
        <f t="shared" si="69"/>
        <v/>
      </c>
      <c r="G479" s="85" t="str">
        <f t="shared" si="70"/>
        <v/>
      </c>
      <c r="H479" s="122"/>
      <c r="I479" s="122"/>
      <c r="J479" s="122"/>
      <c r="K479" s="135"/>
      <c r="L479" s="134"/>
      <c r="M479" s="134"/>
      <c r="N479" s="135"/>
      <c r="O479" s="135"/>
      <c r="P479" s="89"/>
      <c r="R479" t="str">
        <f t="shared" si="71"/>
        <v/>
      </c>
      <c r="S479" t="str">
        <f t="shared" si="72"/>
        <v/>
      </c>
      <c r="T479" t="str">
        <f t="shared" si="73"/>
        <v/>
      </c>
      <c r="AD479" t="s">
        <v>1480</v>
      </c>
      <c r="AE479" t="s">
        <v>1481</v>
      </c>
      <c r="AF479" t="str">
        <f t="shared" si="74"/>
        <v>A679078</v>
      </c>
      <c r="AG479" t="str">
        <f>VLOOKUP(AF479,AKT!$C$4:$E$324,3,FALSE)</f>
        <v>0942</v>
      </c>
    </row>
    <row r="480" spans="1:33">
      <c r="A480" s="90"/>
      <c r="B480" s="85" t="str">
        <f t="shared" si="67"/>
        <v/>
      </c>
      <c r="C480" s="90"/>
      <c r="D480" s="85" t="str">
        <f t="shared" si="68"/>
        <v/>
      </c>
      <c r="E480" s="123"/>
      <c r="F480" s="85" t="str">
        <f t="shared" si="69"/>
        <v/>
      </c>
      <c r="G480" s="85" t="str">
        <f t="shared" si="70"/>
        <v/>
      </c>
      <c r="H480" s="122"/>
      <c r="I480" s="122"/>
      <c r="J480" s="122"/>
      <c r="K480" s="135"/>
      <c r="L480" s="134"/>
      <c r="M480" s="134"/>
      <c r="N480" s="135"/>
      <c r="O480" s="135"/>
      <c r="P480" s="89"/>
      <c r="R480" t="str">
        <f t="shared" si="71"/>
        <v/>
      </c>
      <c r="S480" t="str">
        <f t="shared" si="72"/>
        <v/>
      </c>
      <c r="T480" t="str">
        <f t="shared" si="73"/>
        <v/>
      </c>
      <c r="AD480" t="s">
        <v>1482</v>
      </c>
      <c r="AE480" t="s">
        <v>1483</v>
      </c>
      <c r="AF480" t="str">
        <f t="shared" si="74"/>
        <v>A679078</v>
      </c>
      <c r="AG480" t="str">
        <f>VLOOKUP(AF480,AKT!$C$4:$E$324,3,FALSE)</f>
        <v>0942</v>
      </c>
    </row>
    <row r="481" spans="1:33">
      <c r="A481" s="90"/>
      <c r="B481" s="85" t="str">
        <f t="shared" si="67"/>
        <v/>
      </c>
      <c r="C481" s="90"/>
      <c r="D481" s="85" t="str">
        <f t="shared" si="68"/>
        <v/>
      </c>
      <c r="E481" s="123"/>
      <c r="F481" s="85" t="str">
        <f t="shared" si="69"/>
        <v/>
      </c>
      <c r="G481" s="85" t="str">
        <f t="shared" si="70"/>
        <v/>
      </c>
      <c r="H481" s="122"/>
      <c r="I481" s="122"/>
      <c r="J481" s="122"/>
      <c r="K481" s="135"/>
      <c r="L481" s="134"/>
      <c r="M481" s="134"/>
      <c r="N481" s="135"/>
      <c r="O481" s="135"/>
      <c r="P481" s="89"/>
      <c r="R481" t="str">
        <f t="shared" si="71"/>
        <v/>
      </c>
      <c r="S481" t="str">
        <f t="shared" si="72"/>
        <v/>
      </c>
      <c r="T481" t="str">
        <f t="shared" si="73"/>
        <v/>
      </c>
      <c r="AD481" t="s">
        <v>1484</v>
      </c>
      <c r="AE481" t="s">
        <v>1485</v>
      </c>
      <c r="AF481" t="str">
        <f t="shared" si="74"/>
        <v>A679078</v>
      </c>
      <c r="AG481" t="str">
        <f>VLOOKUP(AF481,AKT!$C$4:$E$324,3,FALSE)</f>
        <v>0942</v>
      </c>
    </row>
    <row r="482" spans="1:33">
      <c r="A482" s="90"/>
      <c r="B482" s="85" t="str">
        <f t="shared" si="67"/>
        <v/>
      </c>
      <c r="C482" s="90"/>
      <c r="D482" s="85" t="str">
        <f t="shared" si="68"/>
        <v/>
      </c>
      <c r="E482" s="123"/>
      <c r="F482" s="85" t="str">
        <f t="shared" si="69"/>
        <v/>
      </c>
      <c r="G482" s="85" t="str">
        <f t="shared" si="70"/>
        <v/>
      </c>
      <c r="H482" s="122"/>
      <c r="I482" s="122"/>
      <c r="J482" s="122"/>
      <c r="K482" s="135"/>
      <c r="L482" s="134"/>
      <c r="M482" s="134"/>
      <c r="N482" s="135"/>
      <c r="O482" s="135"/>
      <c r="P482" s="89"/>
      <c r="R482" t="str">
        <f t="shared" si="71"/>
        <v/>
      </c>
      <c r="S482" t="str">
        <f t="shared" si="72"/>
        <v/>
      </c>
      <c r="T482" t="str">
        <f t="shared" si="73"/>
        <v/>
      </c>
      <c r="AD482" t="s">
        <v>1486</v>
      </c>
      <c r="AE482" t="s">
        <v>1487</v>
      </c>
      <c r="AF482" t="str">
        <f t="shared" si="74"/>
        <v>A679078</v>
      </c>
      <c r="AG482" t="str">
        <f>VLOOKUP(AF482,AKT!$C$4:$E$324,3,FALSE)</f>
        <v>0942</v>
      </c>
    </row>
    <row r="483" spans="1:33">
      <c r="A483" s="90"/>
      <c r="B483" s="85" t="str">
        <f t="shared" si="67"/>
        <v/>
      </c>
      <c r="C483" s="90"/>
      <c r="D483" s="85" t="str">
        <f t="shared" si="68"/>
        <v/>
      </c>
      <c r="E483" s="123"/>
      <c r="F483" s="85" t="str">
        <f t="shared" si="69"/>
        <v/>
      </c>
      <c r="G483" s="85" t="str">
        <f t="shared" si="70"/>
        <v/>
      </c>
      <c r="H483" s="122"/>
      <c r="I483" s="122"/>
      <c r="J483" s="122"/>
      <c r="K483" s="135"/>
      <c r="L483" s="134"/>
      <c r="M483" s="134"/>
      <c r="N483" s="135"/>
      <c r="O483" s="135"/>
      <c r="P483" s="89"/>
      <c r="R483" t="str">
        <f t="shared" si="71"/>
        <v/>
      </c>
      <c r="S483" t="str">
        <f t="shared" si="72"/>
        <v/>
      </c>
      <c r="T483" t="str">
        <f t="shared" si="73"/>
        <v/>
      </c>
      <c r="AD483" t="s">
        <v>1488</v>
      </c>
      <c r="AE483" t="s">
        <v>1489</v>
      </c>
      <c r="AF483" t="str">
        <f t="shared" si="74"/>
        <v>A679078</v>
      </c>
      <c r="AG483" t="str">
        <f>VLOOKUP(AF483,AKT!$C$4:$E$324,3,FALSE)</f>
        <v>0942</v>
      </c>
    </row>
    <row r="484" spans="1:33">
      <c r="A484" s="90"/>
      <c r="B484" s="85" t="str">
        <f t="shared" si="67"/>
        <v/>
      </c>
      <c r="C484" s="90"/>
      <c r="D484" s="85" t="str">
        <f t="shared" si="68"/>
        <v/>
      </c>
      <c r="E484" s="123"/>
      <c r="F484" s="85" t="str">
        <f t="shared" si="69"/>
        <v/>
      </c>
      <c r="G484" s="85" t="str">
        <f t="shared" si="70"/>
        <v/>
      </c>
      <c r="H484" s="122"/>
      <c r="I484" s="122"/>
      <c r="J484" s="122"/>
      <c r="K484" s="135"/>
      <c r="L484" s="134"/>
      <c r="M484" s="134"/>
      <c r="N484" s="135"/>
      <c r="O484" s="135"/>
      <c r="P484" s="89"/>
      <c r="R484" t="str">
        <f t="shared" si="71"/>
        <v/>
      </c>
      <c r="S484" t="str">
        <f t="shared" si="72"/>
        <v/>
      </c>
      <c r="T484" t="str">
        <f t="shared" si="73"/>
        <v/>
      </c>
      <c r="AD484" t="s">
        <v>1490</v>
      </c>
      <c r="AE484" t="s">
        <v>1491</v>
      </c>
      <c r="AF484" t="str">
        <f t="shared" si="74"/>
        <v>A679078</v>
      </c>
      <c r="AG484" t="str">
        <f>VLOOKUP(AF484,AKT!$C$4:$E$324,3,FALSE)</f>
        <v>0942</v>
      </c>
    </row>
    <row r="485" spans="1:33">
      <c r="A485" s="90"/>
      <c r="B485" s="85" t="str">
        <f t="shared" si="67"/>
        <v/>
      </c>
      <c r="C485" s="90"/>
      <c r="D485" s="85" t="str">
        <f t="shared" si="68"/>
        <v/>
      </c>
      <c r="E485" s="123"/>
      <c r="F485" s="85" t="str">
        <f t="shared" si="69"/>
        <v/>
      </c>
      <c r="G485" s="85" t="str">
        <f t="shared" si="70"/>
        <v/>
      </c>
      <c r="H485" s="122"/>
      <c r="I485" s="122"/>
      <c r="J485" s="122"/>
      <c r="K485" s="135"/>
      <c r="L485" s="134"/>
      <c r="M485" s="134"/>
      <c r="N485" s="135"/>
      <c r="O485" s="135"/>
      <c r="P485" s="89"/>
      <c r="R485" t="str">
        <f t="shared" si="71"/>
        <v/>
      </c>
      <c r="S485" t="str">
        <f t="shared" si="72"/>
        <v/>
      </c>
      <c r="T485" t="str">
        <f t="shared" si="73"/>
        <v/>
      </c>
      <c r="AD485" t="s">
        <v>1492</v>
      </c>
      <c r="AE485" t="s">
        <v>1493</v>
      </c>
      <c r="AF485" t="str">
        <f t="shared" si="74"/>
        <v>A679078</v>
      </c>
      <c r="AG485" t="str">
        <f>VLOOKUP(AF485,AKT!$C$4:$E$324,3,FALSE)</f>
        <v>0942</v>
      </c>
    </row>
    <row r="486" spans="1:33">
      <c r="A486" s="90"/>
      <c r="B486" s="85" t="str">
        <f t="shared" si="67"/>
        <v/>
      </c>
      <c r="C486" s="90"/>
      <c r="D486" s="85" t="str">
        <f t="shared" si="68"/>
        <v/>
      </c>
      <c r="E486" s="123"/>
      <c r="F486" s="85" t="str">
        <f t="shared" si="69"/>
        <v/>
      </c>
      <c r="G486" s="85" t="str">
        <f t="shared" si="70"/>
        <v/>
      </c>
      <c r="H486" s="122"/>
      <c r="I486" s="122"/>
      <c r="J486" s="122"/>
      <c r="K486" s="135"/>
      <c r="L486" s="134"/>
      <c r="M486" s="134"/>
      <c r="N486" s="135"/>
      <c r="O486" s="135"/>
      <c r="P486" s="89"/>
      <c r="R486" t="str">
        <f t="shared" si="71"/>
        <v/>
      </c>
      <c r="S486" t="str">
        <f t="shared" si="72"/>
        <v/>
      </c>
      <c r="T486" t="str">
        <f t="shared" si="73"/>
        <v/>
      </c>
      <c r="AD486" t="s">
        <v>1494</v>
      </c>
      <c r="AE486" t="s">
        <v>1495</v>
      </c>
      <c r="AF486" t="str">
        <f t="shared" si="74"/>
        <v>A679078</v>
      </c>
      <c r="AG486" t="str">
        <f>VLOOKUP(AF486,AKT!$C$4:$E$324,3,FALSE)</f>
        <v>0942</v>
      </c>
    </row>
    <row r="487" spans="1:33">
      <c r="A487" s="90"/>
      <c r="B487" s="85" t="str">
        <f t="shared" si="67"/>
        <v/>
      </c>
      <c r="C487" s="90"/>
      <c r="D487" s="85" t="str">
        <f t="shared" si="68"/>
        <v/>
      </c>
      <c r="E487" s="123"/>
      <c r="F487" s="85" t="str">
        <f t="shared" si="69"/>
        <v/>
      </c>
      <c r="G487" s="85" t="str">
        <f t="shared" si="70"/>
        <v/>
      </c>
      <c r="H487" s="122"/>
      <c r="I487" s="122"/>
      <c r="J487" s="122"/>
      <c r="K487" s="135"/>
      <c r="L487" s="134"/>
      <c r="M487" s="134"/>
      <c r="N487" s="135"/>
      <c r="O487" s="135"/>
      <c r="P487" s="89"/>
      <c r="R487" t="str">
        <f t="shared" si="71"/>
        <v/>
      </c>
      <c r="S487" t="str">
        <f t="shared" si="72"/>
        <v/>
      </c>
      <c r="T487" t="str">
        <f t="shared" si="73"/>
        <v/>
      </c>
      <c r="AD487" t="s">
        <v>1496</v>
      </c>
      <c r="AE487" t="s">
        <v>1497</v>
      </c>
      <c r="AF487" t="str">
        <f t="shared" si="74"/>
        <v>A679078</v>
      </c>
      <c r="AG487" t="str">
        <f>VLOOKUP(AF487,AKT!$C$4:$E$324,3,FALSE)</f>
        <v>0942</v>
      </c>
    </row>
    <row r="488" spans="1:33">
      <c r="A488" s="90"/>
      <c r="B488" s="85" t="str">
        <f t="shared" si="67"/>
        <v/>
      </c>
      <c r="C488" s="90"/>
      <c r="D488" s="85" t="str">
        <f t="shared" si="68"/>
        <v/>
      </c>
      <c r="E488" s="123"/>
      <c r="F488" s="85" t="str">
        <f t="shared" si="69"/>
        <v/>
      </c>
      <c r="G488" s="85" t="str">
        <f t="shared" si="70"/>
        <v/>
      </c>
      <c r="H488" s="122"/>
      <c r="I488" s="122"/>
      <c r="J488" s="122"/>
      <c r="K488" s="135"/>
      <c r="L488" s="134"/>
      <c r="M488" s="134"/>
      <c r="N488" s="135"/>
      <c r="O488" s="135"/>
      <c r="P488" s="89"/>
      <c r="R488" t="str">
        <f t="shared" si="71"/>
        <v/>
      </c>
      <c r="S488" t="str">
        <f t="shared" si="72"/>
        <v/>
      </c>
      <c r="T488" t="str">
        <f t="shared" si="73"/>
        <v/>
      </c>
      <c r="AD488" t="s">
        <v>1498</v>
      </c>
      <c r="AE488" t="s">
        <v>1499</v>
      </c>
      <c r="AF488" t="str">
        <f t="shared" si="74"/>
        <v>A679078</v>
      </c>
      <c r="AG488" t="str">
        <f>VLOOKUP(AF488,AKT!$C$4:$E$324,3,FALSE)</f>
        <v>0942</v>
      </c>
    </row>
    <row r="489" spans="1:33">
      <c r="A489" s="90"/>
      <c r="B489" s="85" t="str">
        <f t="shared" si="67"/>
        <v/>
      </c>
      <c r="C489" s="90"/>
      <c r="D489" s="85" t="str">
        <f t="shared" si="68"/>
        <v/>
      </c>
      <c r="E489" s="123"/>
      <c r="F489" s="85" t="str">
        <f t="shared" si="69"/>
        <v/>
      </c>
      <c r="G489" s="85" t="str">
        <f t="shared" si="70"/>
        <v/>
      </c>
      <c r="H489" s="122"/>
      <c r="I489" s="122"/>
      <c r="J489" s="122"/>
      <c r="K489" s="135"/>
      <c r="L489" s="134"/>
      <c r="M489" s="134"/>
      <c r="N489" s="135"/>
      <c r="O489" s="135"/>
      <c r="P489" s="89"/>
      <c r="R489" t="str">
        <f t="shared" si="71"/>
        <v/>
      </c>
      <c r="S489" t="str">
        <f t="shared" si="72"/>
        <v/>
      </c>
      <c r="T489" t="str">
        <f t="shared" si="73"/>
        <v/>
      </c>
      <c r="AD489" t="s">
        <v>1500</v>
      </c>
      <c r="AE489" t="s">
        <v>1501</v>
      </c>
      <c r="AF489" t="str">
        <f t="shared" si="74"/>
        <v>A679078</v>
      </c>
      <c r="AG489" t="str">
        <f>VLOOKUP(AF489,AKT!$C$4:$E$324,3,FALSE)</f>
        <v>0942</v>
      </c>
    </row>
    <row r="490" spans="1:33">
      <c r="A490" s="90"/>
      <c r="B490" s="85" t="str">
        <f t="shared" si="67"/>
        <v/>
      </c>
      <c r="C490" s="90"/>
      <c r="D490" s="85" t="str">
        <f t="shared" si="68"/>
        <v/>
      </c>
      <c r="E490" s="123"/>
      <c r="F490" s="85" t="str">
        <f t="shared" si="69"/>
        <v/>
      </c>
      <c r="G490" s="85" t="str">
        <f t="shared" si="70"/>
        <v/>
      </c>
      <c r="H490" s="122"/>
      <c r="I490" s="122"/>
      <c r="J490" s="122"/>
      <c r="K490" s="135"/>
      <c r="L490" s="134"/>
      <c r="M490" s="134"/>
      <c r="N490" s="135"/>
      <c r="O490" s="135"/>
      <c r="P490" s="89"/>
      <c r="R490" t="str">
        <f t="shared" si="71"/>
        <v/>
      </c>
      <c r="S490" t="str">
        <f t="shared" si="72"/>
        <v/>
      </c>
      <c r="T490" t="str">
        <f t="shared" si="73"/>
        <v/>
      </c>
      <c r="AD490" t="s">
        <v>1502</v>
      </c>
      <c r="AE490" t="s">
        <v>1503</v>
      </c>
      <c r="AF490" t="str">
        <f t="shared" si="74"/>
        <v>A679078</v>
      </c>
      <c r="AG490" t="str">
        <f>VLOOKUP(AF490,AKT!$C$4:$E$324,3,FALSE)</f>
        <v>0942</v>
      </c>
    </row>
    <row r="491" spans="1:33">
      <c r="A491" s="90"/>
      <c r="B491" s="85" t="str">
        <f t="shared" si="67"/>
        <v/>
      </c>
      <c r="C491" s="90"/>
      <c r="D491" s="85" t="str">
        <f t="shared" si="68"/>
        <v/>
      </c>
      <c r="E491" s="123"/>
      <c r="F491" s="85" t="str">
        <f t="shared" si="69"/>
        <v/>
      </c>
      <c r="G491" s="85" t="str">
        <f t="shared" si="70"/>
        <v/>
      </c>
      <c r="H491" s="122"/>
      <c r="I491" s="122"/>
      <c r="J491" s="122"/>
      <c r="K491" s="135"/>
      <c r="L491" s="134"/>
      <c r="M491" s="134"/>
      <c r="N491" s="135"/>
      <c r="O491" s="135"/>
      <c r="P491" s="89"/>
      <c r="R491" t="str">
        <f t="shared" si="71"/>
        <v/>
      </c>
      <c r="S491" t="str">
        <f t="shared" si="72"/>
        <v/>
      </c>
      <c r="T491" t="str">
        <f t="shared" si="73"/>
        <v/>
      </c>
      <c r="AD491" t="s">
        <v>1504</v>
      </c>
      <c r="AE491" t="s">
        <v>1505</v>
      </c>
      <c r="AF491" t="str">
        <f t="shared" si="74"/>
        <v>A679078</v>
      </c>
      <c r="AG491" t="str">
        <f>VLOOKUP(AF491,AKT!$C$4:$E$324,3,FALSE)</f>
        <v>0942</v>
      </c>
    </row>
    <row r="492" spans="1:33">
      <c r="A492" s="90"/>
      <c r="B492" s="85" t="str">
        <f t="shared" si="67"/>
        <v/>
      </c>
      <c r="C492" s="90"/>
      <c r="D492" s="85" t="str">
        <f t="shared" si="68"/>
        <v/>
      </c>
      <c r="E492" s="123"/>
      <c r="F492" s="85" t="str">
        <f t="shared" si="69"/>
        <v/>
      </c>
      <c r="G492" s="85" t="str">
        <f t="shared" si="70"/>
        <v/>
      </c>
      <c r="H492" s="122"/>
      <c r="I492" s="122"/>
      <c r="J492" s="122"/>
      <c r="K492" s="135"/>
      <c r="L492" s="134"/>
      <c r="M492" s="134"/>
      <c r="N492" s="135"/>
      <c r="O492" s="135"/>
      <c r="P492" s="89"/>
      <c r="R492" t="str">
        <f t="shared" si="71"/>
        <v/>
      </c>
      <c r="S492" t="str">
        <f t="shared" si="72"/>
        <v/>
      </c>
      <c r="T492" t="str">
        <f t="shared" si="73"/>
        <v/>
      </c>
      <c r="AD492" t="s">
        <v>1506</v>
      </c>
      <c r="AE492" t="s">
        <v>1507</v>
      </c>
      <c r="AF492" t="str">
        <f t="shared" si="74"/>
        <v>A679078</v>
      </c>
      <c r="AG492" t="str">
        <f>VLOOKUP(AF492,AKT!$C$4:$E$324,3,FALSE)</f>
        <v>0942</v>
      </c>
    </row>
    <row r="493" spans="1:33">
      <c r="A493" s="90"/>
      <c r="B493" s="85" t="str">
        <f t="shared" si="67"/>
        <v/>
      </c>
      <c r="C493" s="90"/>
      <c r="D493" s="85" t="str">
        <f t="shared" si="68"/>
        <v/>
      </c>
      <c r="E493" s="123"/>
      <c r="F493" s="85" t="str">
        <f t="shared" si="69"/>
        <v/>
      </c>
      <c r="G493" s="85" t="str">
        <f t="shared" si="70"/>
        <v/>
      </c>
      <c r="H493" s="122"/>
      <c r="I493" s="122"/>
      <c r="J493" s="122"/>
      <c r="K493" s="135"/>
      <c r="L493" s="134"/>
      <c r="M493" s="134"/>
      <c r="N493" s="135"/>
      <c r="O493" s="135"/>
      <c r="P493" s="89"/>
      <c r="R493" t="str">
        <f t="shared" si="71"/>
        <v/>
      </c>
      <c r="S493" t="str">
        <f t="shared" si="72"/>
        <v/>
      </c>
      <c r="T493" t="str">
        <f t="shared" si="73"/>
        <v/>
      </c>
      <c r="AD493" t="s">
        <v>1508</v>
      </c>
      <c r="AE493" t="s">
        <v>1509</v>
      </c>
      <c r="AF493" t="str">
        <f t="shared" si="74"/>
        <v>A679078</v>
      </c>
      <c r="AG493" t="str">
        <f>VLOOKUP(AF493,AKT!$C$4:$E$324,3,FALSE)</f>
        <v>0942</v>
      </c>
    </row>
    <row r="494" spans="1:33">
      <c r="A494" s="90"/>
      <c r="B494" s="85" t="str">
        <f t="shared" si="67"/>
        <v/>
      </c>
      <c r="C494" s="90"/>
      <c r="D494" s="85" t="str">
        <f t="shared" si="68"/>
        <v/>
      </c>
      <c r="E494" s="123"/>
      <c r="F494" s="85" t="str">
        <f t="shared" si="69"/>
        <v/>
      </c>
      <c r="G494" s="85" t="str">
        <f t="shared" si="70"/>
        <v/>
      </c>
      <c r="H494" s="122"/>
      <c r="I494" s="122"/>
      <c r="J494" s="122"/>
      <c r="K494" s="135"/>
      <c r="L494" s="134"/>
      <c r="M494" s="134"/>
      <c r="N494" s="135"/>
      <c r="O494" s="135"/>
      <c r="P494" s="89"/>
      <c r="R494" t="str">
        <f t="shared" si="71"/>
        <v/>
      </c>
      <c r="S494" t="str">
        <f t="shared" si="72"/>
        <v/>
      </c>
      <c r="T494" t="str">
        <f t="shared" si="73"/>
        <v/>
      </c>
      <c r="AD494" t="s">
        <v>1510</v>
      </c>
      <c r="AE494" t="s">
        <v>1511</v>
      </c>
      <c r="AF494" t="str">
        <f t="shared" si="74"/>
        <v>A679078</v>
      </c>
      <c r="AG494" t="str">
        <f>VLOOKUP(AF494,AKT!$C$4:$E$324,3,FALSE)</f>
        <v>0942</v>
      </c>
    </row>
    <row r="495" spans="1:33">
      <c r="A495" s="90"/>
      <c r="B495" s="85" t="str">
        <f t="shared" si="67"/>
        <v/>
      </c>
      <c r="C495" s="90"/>
      <c r="D495" s="85" t="str">
        <f t="shared" si="68"/>
        <v/>
      </c>
      <c r="E495" s="123"/>
      <c r="F495" s="85" t="str">
        <f t="shared" si="69"/>
        <v/>
      </c>
      <c r="G495" s="85" t="str">
        <f t="shared" si="70"/>
        <v/>
      </c>
      <c r="H495" s="122"/>
      <c r="I495" s="122"/>
      <c r="J495" s="122"/>
      <c r="K495" s="135"/>
      <c r="L495" s="134"/>
      <c r="M495" s="134"/>
      <c r="N495" s="135"/>
      <c r="O495" s="135"/>
      <c r="P495" s="89"/>
      <c r="R495" t="str">
        <f t="shared" si="71"/>
        <v/>
      </c>
      <c r="S495" t="str">
        <f t="shared" si="72"/>
        <v/>
      </c>
      <c r="T495" t="str">
        <f t="shared" si="73"/>
        <v/>
      </c>
      <c r="AD495" t="s">
        <v>1512</v>
      </c>
      <c r="AE495" t="s">
        <v>1513</v>
      </c>
      <c r="AF495" t="str">
        <f t="shared" si="74"/>
        <v>A679078</v>
      </c>
      <c r="AG495" t="str">
        <f>VLOOKUP(AF495,AKT!$C$4:$E$324,3,FALSE)</f>
        <v>0942</v>
      </c>
    </row>
    <row r="496" spans="1:33">
      <c r="A496" s="90"/>
      <c r="B496" s="85" t="str">
        <f t="shared" si="67"/>
        <v/>
      </c>
      <c r="C496" s="90"/>
      <c r="D496" s="85" t="str">
        <f t="shared" si="68"/>
        <v/>
      </c>
      <c r="E496" s="123"/>
      <c r="F496" s="85" t="str">
        <f t="shared" si="69"/>
        <v/>
      </c>
      <c r="G496" s="85" t="str">
        <f t="shared" si="70"/>
        <v/>
      </c>
      <c r="H496" s="122"/>
      <c r="I496" s="122"/>
      <c r="J496" s="122"/>
      <c r="K496" s="135"/>
      <c r="L496" s="134"/>
      <c r="M496" s="134"/>
      <c r="N496" s="135"/>
      <c r="O496" s="135"/>
      <c r="P496" s="89"/>
      <c r="R496" t="str">
        <f t="shared" si="71"/>
        <v/>
      </c>
      <c r="S496" t="str">
        <f t="shared" si="72"/>
        <v/>
      </c>
      <c r="T496" t="str">
        <f t="shared" si="73"/>
        <v/>
      </c>
      <c r="AD496" t="s">
        <v>1514</v>
      </c>
      <c r="AE496" t="s">
        <v>1515</v>
      </c>
      <c r="AF496" t="str">
        <f t="shared" si="74"/>
        <v>A679078</v>
      </c>
      <c r="AG496" t="str">
        <f>VLOOKUP(AF496,AKT!$C$4:$E$324,3,FALSE)</f>
        <v>0942</v>
      </c>
    </row>
    <row r="497" spans="1:33">
      <c r="A497" s="90"/>
      <c r="B497" s="85" t="str">
        <f t="shared" si="67"/>
        <v/>
      </c>
      <c r="C497" s="90"/>
      <c r="D497" s="85" t="str">
        <f t="shared" si="68"/>
        <v/>
      </c>
      <c r="E497" s="123"/>
      <c r="F497" s="85" t="str">
        <f t="shared" si="69"/>
        <v/>
      </c>
      <c r="G497" s="85" t="str">
        <f t="shared" si="70"/>
        <v/>
      </c>
      <c r="H497" s="122"/>
      <c r="I497" s="122"/>
      <c r="J497" s="122"/>
      <c r="K497" s="135"/>
      <c r="L497" s="134"/>
      <c r="M497" s="134"/>
      <c r="N497" s="135"/>
      <c r="O497" s="135"/>
      <c r="P497" s="89"/>
      <c r="R497" t="str">
        <f t="shared" si="71"/>
        <v/>
      </c>
      <c r="S497" t="str">
        <f t="shared" si="72"/>
        <v/>
      </c>
      <c r="T497" t="str">
        <f t="shared" si="73"/>
        <v/>
      </c>
      <c r="AD497" t="s">
        <v>1516</v>
      </c>
      <c r="AE497" t="s">
        <v>1517</v>
      </c>
      <c r="AF497" t="str">
        <f t="shared" si="74"/>
        <v>A679078</v>
      </c>
      <c r="AG497" t="str">
        <f>VLOOKUP(AF497,AKT!$C$4:$E$324,3,FALSE)</f>
        <v>0942</v>
      </c>
    </row>
    <row r="498" spans="1:33">
      <c r="A498" s="90"/>
      <c r="B498" s="85" t="str">
        <f t="shared" si="67"/>
        <v/>
      </c>
      <c r="C498" s="90"/>
      <c r="D498" s="85" t="str">
        <f t="shared" si="68"/>
        <v/>
      </c>
      <c r="E498" s="123"/>
      <c r="F498" s="85" t="str">
        <f t="shared" si="69"/>
        <v/>
      </c>
      <c r="G498" s="85" t="str">
        <f t="shared" si="70"/>
        <v/>
      </c>
      <c r="H498" s="122"/>
      <c r="I498" s="122"/>
      <c r="J498" s="122"/>
      <c r="K498" s="135"/>
      <c r="L498" s="134"/>
      <c r="M498" s="134"/>
      <c r="N498" s="135"/>
      <c r="O498" s="135"/>
      <c r="P498" s="89"/>
      <c r="R498" t="str">
        <f t="shared" si="71"/>
        <v/>
      </c>
      <c r="S498" t="str">
        <f t="shared" si="72"/>
        <v/>
      </c>
      <c r="T498" t="str">
        <f t="shared" si="73"/>
        <v/>
      </c>
      <c r="AD498" t="s">
        <v>1518</v>
      </c>
      <c r="AE498" t="s">
        <v>1519</v>
      </c>
      <c r="AF498" t="str">
        <f t="shared" si="74"/>
        <v>A679078</v>
      </c>
      <c r="AG498" t="str">
        <f>VLOOKUP(AF498,AKT!$C$4:$E$324,3,FALSE)</f>
        <v>0942</v>
      </c>
    </row>
    <row r="499" spans="1:33">
      <c r="A499" s="90"/>
      <c r="B499" s="85" t="str">
        <f t="shared" si="67"/>
        <v/>
      </c>
      <c r="C499" s="90"/>
      <c r="D499" s="85" t="str">
        <f t="shared" si="68"/>
        <v/>
      </c>
      <c r="E499" s="123"/>
      <c r="F499" s="85" t="str">
        <f t="shared" si="69"/>
        <v/>
      </c>
      <c r="G499" s="85" t="str">
        <f t="shared" si="70"/>
        <v/>
      </c>
      <c r="H499" s="122"/>
      <c r="I499" s="122"/>
      <c r="J499" s="122"/>
      <c r="K499" s="135"/>
      <c r="L499" s="134"/>
      <c r="M499" s="134"/>
      <c r="N499" s="135"/>
      <c r="O499" s="135"/>
      <c r="P499" s="89"/>
      <c r="R499" t="str">
        <f t="shared" si="71"/>
        <v/>
      </c>
      <c r="S499" t="str">
        <f t="shared" si="72"/>
        <v/>
      </c>
      <c r="T499" t="str">
        <f t="shared" si="73"/>
        <v/>
      </c>
      <c r="AD499" t="s">
        <v>1520</v>
      </c>
      <c r="AE499" t="s">
        <v>1521</v>
      </c>
      <c r="AF499" t="str">
        <f t="shared" si="74"/>
        <v>A679078</v>
      </c>
      <c r="AG499" t="str">
        <f>VLOOKUP(AF499,AKT!$C$4:$E$324,3,FALSE)</f>
        <v>0942</v>
      </c>
    </row>
    <row r="500" spans="1:33">
      <c r="A500" s="90"/>
      <c r="B500" s="85" t="str">
        <f t="shared" si="67"/>
        <v/>
      </c>
      <c r="C500" s="90"/>
      <c r="D500" s="85" t="str">
        <f t="shared" si="68"/>
        <v/>
      </c>
      <c r="E500" s="123"/>
      <c r="F500" s="85" t="str">
        <f t="shared" si="69"/>
        <v/>
      </c>
      <c r="G500" s="85" t="str">
        <f t="shared" si="70"/>
        <v/>
      </c>
      <c r="H500" s="122"/>
      <c r="I500" s="122"/>
      <c r="J500" s="122"/>
      <c r="K500" s="135"/>
      <c r="L500" s="134"/>
      <c r="M500" s="134"/>
      <c r="N500" s="135"/>
      <c r="O500" s="135"/>
      <c r="P500" s="89"/>
      <c r="R500" t="str">
        <f t="shared" si="71"/>
        <v/>
      </c>
      <c r="S500" t="str">
        <f t="shared" si="72"/>
        <v/>
      </c>
      <c r="T500" t="str">
        <f t="shared" si="73"/>
        <v/>
      </c>
      <c r="AD500" t="s">
        <v>1522</v>
      </c>
      <c r="AE500" t="s">
        <v>1523</v>
      </c>
      <c r="AF500" t="str">
        <f t="shared" si="74"/>
        <v>A679078</v>
      </c>
      <c r="AG500" t="str">
        <f>VLOOKUP(AF500,AKT!$C$4:$E$324,3,FALSE)</f>
        <v>0942</v>
      </c>
    </row>
    <row r="501" spans="1:33">
      <c r="A501" s="90"/>
      <c r="B501" s="85" t="str">
        <f t="shared" si="67"/>
        <v/>
      </c>
      <c r="C501" s="90"/>
      <c r="D501" s="85" t="str">
        <f t="shared" si="68"/>
        <v/>
      </c>
      <c r="E501" s="123"/>
      <c r="F501" s="85" t="str">
        <f t="shared" si="69"/>
        <v/>
      </c>
      <c r="G501" s="85" t="str">
        <f t="shared" si="70"/>
        <v/>
      </c>
      <c r="H501" s="122"/>
      <c r="I501" s="122"/>
      <c r="J501" s="122"/>
      <c r="K501" s="135"/>
      <c r="L501" s="134"/>
      <c r="M501" s="134"/>
      <c r="N501" s="135"/>
      <c r="O501" s="135"/>
      <c r="P501" s="89"/>
      <c r="R501" t="str">
        <f t="shared" si="71"/>
        <v/>
      </c>
      <c r="S501" t="str">
        <f t="shared" si="72"/>
        <v/>
      </c>
      <c r="T501" t="str">
        <f t="shared" si="73"/>
        <v/>
      </c>
      <c r="AD501" t="s">
        <v>1524</v>
      </c>
      <c r="AE501" t="s">
        <v>1525</v>
      </c>
      <c r="AF501" t="str">
        <f t="shared" si="74"/>
        <v>A679078</v>
      </c>
      <c r="AG501" t="str">
        <f>VLOOKUP(AF501,AKT!$C$4:$E$324,3,FALSE)</f>
        <v>0942</v>
      </c>
    </row>
    <row r="502" spans="1:33" ht="15.75" customHeight="1">
      <c r="AD502" t="s">
        <v>1526</v>
      </c>
      <c r="AE502" t="s">
        <v>1527</v>
      </c>
      <c r="AF502" t="str">
        <f t="shared" si="74"/>
        <v>A679078</v>
      </c>
      <c r="AG502" t="str">
        <f>VLOOKUP(AF502,AKT!$C$4:$E$324,3,FALSE)</f>
        <v>0942</v>
      </c>
    </row>
    <row r="503" spans="1:33" hidden="1">
      <c r="AD503" t="s">
        <v>1528</v>
      </c>
      <c r="AE503" t="s">
        <v>1529</v>
      </c>
      <c r="AF503" t="str">
        <f t="shared" si="74"/>
        <v>A679078</v>
      </c>
      <c r="AG503" t="str">
        <f>VLOOKUP(AF503,AKT!$C$4:$E$324,3,FALSE)</f>
        <v>0942</v>
      </c>
    </row>
    <row r="504" spans="1:33" hidden="1">
      <c r="AD504" t="s">
        <v>1530</v>
      </c>
      <c r="AE504" t="s">
        <v>1531</v>
      </c>
      <c r="AF504" t="str">
        <f t="shared" si="74"/>
        <v>A679078</v>
      </c>
      <c r="AG504" t="str">
        <f>VLOOKUP(AF504,AKT!$C$4:$E$324,3,FALSE)</f>
        <v>0942</v>
      </c>
    </row>
    <row r="505" spans="1:33" hidden="1">
      <c r="AD505" t="s">
        <v>1532</v>
      </c>
      <c r="AE505" t="s">
        <v>1533</v>
      </c>
      <c r="AF505" t="str">
        <f t="shared" si="74"/>
        <v>A679078</v>
      </c>
      <c r="AG505" t="str">
        <f>VLOOKUP(AF505,AKT!$C$4:$E$324,3,FALSE)</f>
        <v>0942</v>
      </c>
    </row>
    <row r="506" spans="1:33" hidden="1">
      <c r="AD506" t="s">
        <v>1534</v>
      </c>
      <c r="AE506" t="s">
        <v>1535</v>
      </c>
      <c r="AF506" t="str">
        <f t="shared" si="74"/>
        <v>A679078</v>
      </c>
      <c r="AG506" t="str">
        <f>VLOOKUP(AF506,AKT!$C$4:$E$324,3,FALSE)</f>
        <v>0942</v>
      </c>
    </row>
    <row r="507" spans="1:33" hidden="1">
      <c r="AD507" t="s">
        <v>1536</v>
      </c>
      <c r="AE507" t="s">
        <v>1537</v>
      </c>
      <c r="AF507" t="str">
        <f t="shared" si="74"/>
        <v>A679078</v>
      </c>
      <c r="AG507" t="str">
        <f>VLOOKUP(AF507,AKT!$C$4:$E$324,3,FALSE)</f>
        <v>0942</v>
      </c>
    </row>
    <row r="508" spans="1:33" hidden="1">
      <c r="AD508" t="s">
        <v>1538</v>
      </c>
      <c r="AE508" t="s">
        <v>1539</v>
      </c>
      <c r="AF508" t="str">
        <f t="shared" si="74"/>
        <v>A679078</v>
      </c>
      <c r="AG508" t="str">
        <f>VLOOKUP(AF508,AKT!$C$4:$E$324,3,FALSE)</f>
        <v>0942</v>
      </c>
    </row>
    <row r="509" spans="1:33" hidden="1">
      <c r="AD509" t="s">
        <v>1540</v>
      </c>
      <c r="AE509" t="s">
        <v>1541</v>
      </c>
      <c r="AF509" t="str">
        <f t="shared" si="74"/>
        <v>A679078</v>
      </c>
      <c r="AG509" t="str">
        <f>VLOOKUP(AF509,AKT!$C$4:$E$324,3,FALSE)</f>
        <v>0942</v>
      </c>
    </row>
    <row r="510" spans="1:33" hidden="1">
      <c r="AD510" t="s">
        <v>1542</v>
      </c>
      <c r="AE510" t="s">
        <v>1543</v>
      </c>
      <c r="AF510" t="str">
        <f t="shared" si="74"/>
        <v>A679078</v>
      </c>
      <c r="AG510" t="str">
        <f>VLOOKUP(AF510,AKT!$C$4:$E$324,3,FALSE)</f>
        <v>0942</v>
      </c>
    </row>
    <row r="511" spans="1:33" hidden="1">
      <c r="AD511" t="s">
        <v>1544</v>
      </c>
      <c r="AE511" t="s">
        <v>1545</v>
      </c>
      <c r="AF511" t="str">
        <f t="shared" si="74"/>
        <v>A679078</v>
      </c>
      <c r="AG511" t="str">
        <f>VLOOKUP(AF511,AKT!$C$4:$E$324,3,FALSE)</f>
        <v>0942</v>
      </c>
    </row>
    <row r="512" spans="1:33" hidden="1">
      <c r="AD512" t="s">
        <v>1546</v>
      </c>
      <c r="AE512" t="s">
        <v>1547</v>
      </c>
      <c r="AF512" t="str">
        <f t="shared" si="74"/>
        <v>A679078</v>
      </c>
      <c r="AG512" t="str">
        <f>VLOOKUP(AF512,AKT!$C$4:$E$324,3,FALSE)</f>
        <v>0942</v>
      </c>
    </row>
    <row r="513" spans="30:33" hidden="1">
      <c r="AD513" t="s">
        <v>1548</v>
      </c>
      <c r="AE513" t="s">
        <v>1549</v>
      </c>
      <c r="AF513" t="str">
        <f t="shared" si="74"/>
        <v>A679078</v>
      </c>
      <c r="AG513" t="str">
        <f>VLOOKUP(AF513,AKT!$C$4:$E$324,3,FALSE)</f>
        <v>0942</v>
      </c>
    </row>
    <row r="514" spans="30:33" hidden="1">
      <c r="AD514" t="s">
        <v>1550</v>
      </c>
      <c r="AE514" t="s">
        <v>1551</v>
      </c>
      <c r="AF514" t="str">
        <f t="shared" si="74"/>
        <v>A679078</v>
      </c>
      <c r="AG514" t="str">
        <f>VLOOKUP(AF514,AKT!$C$4:$E$324,3,FALSE)</f>
        <v>0942</v>
      </c>
    </row>
    <row r="515" spans="30:33" hidden="1">
      <c r="AD515" t="s">
        <v>1552</v>
      </c>
      <c r="AE515" t="s">
        <v>1553</v>
      </c>
      <c r="AF515" t="str">
        <f t="shared" si="74"/>
        <v>A679078</v>
      </c>
      <c r="AG515" t="str">
        <f>VLOOKUP(AF515,AKT!$C$4:$E$324,3,FALSE)</f>
        <v>0942</v>
      </c>
    </row>
    <row r="516" spans="30:33" hidden="1">
      <c r="AD516" t="s">
        <v>1554</v>
      </c>
      <c r="AE516" t="s">
        <v>1555</v>
      </c>
      <c r="AF516" t="str">
        <f t="shared" si="74"/>
        <v>A679078</v>
      </c>
      <c r="AG516" t="str">
        <f>VLOOKUP(AF516,AKT!$C$4:$E$324,3,FALSE)</f>
        <v>0942</v>
      </c>
    </row>
    <row r="517" spans="30:33" hidden="1">
      <c r="AD517" t="s">
        <v>1556</v>
      </c>
      <c r="AE517" t="s">
        <v>1557</v>
      </c>
      <c r="AF517" t="str">
        <f t="shared" si="74"/>
        <v>A679078</v>
      </c>
      <c r="AG517" t="str">
        <f>VLOOKUP(AF517,AKT!$C$4:$E$324,3,FALSE)</f>
        <v>0942</v>
      </c>
    </row>
    <row r="518" spans="30:33" hidden="1">
      <c r="AD518" t="s">
        <v>1558</v>
      </c>
      <c r="AE518" t="s">
        <v>1559</v>
      </c>
      <c r="AF518" t="str">
        <f t="shared" si="74"/>
        <v>A679078</v>
      </c>
      <c r="AG518" t="str">
        <f>VLOOKUP(AF518,AKT!$C$4:$E$324,3,FALSE)</f>
        <v>0942</v>
      </c>
    </row>
    <row r="519" spans="30:33" hidden="1">
      <c r="AD519" t="s">
        <v>1560</v>
      </c>
      <c r="AE519" t="s">
        <v>1561</v>
      </c>
      <c r="AF519" t="str">
        <f t="shared" si="74"/>
        <v>A679078</v>
      </c>
      <c r="AG519" t="str">
        <f>VLOOKUP(AF519,AKT!$C$4:$E$324,3,FALSE)</f>
        <v>0942</v>
      </c>
    </row>
    <row r="520" spans="30:33" hidden="1">
      <c r="AD520" t="s">
        <v>1562</v>
      </c>
      <c r="AE520" t="s">
        <v>1563</v>
      </c>
      <c r="AF520" t="str">
        <f t="shared" ref="AF520:AF583" si="75">LEFT(AD520,7)</f>
        <v>A679078</v>
      </c>
      <c r="AG520" t="str">
        <f>VLOOKUP(AF520,AKT!$C$4:$E$324,3,FALSE)</f>
        <v>0942</v>
      </c>
    </row>
    <row r="521" spans="30:33" hidden="1">
      <c r="AD521" t="s">
        <v>1564</v>
      </c>
      <c r="AE521" t="s">
        <v>1565</v>
      </c>
      <c r="AF521" t="str">
        <f t="shared" si="75"/>
        <v>A679078</v>
      </c>
      <c r="AG521" t="str">
        <f>VLOOKUP(AF521,AKT!$C$4:$E$324,3,FALSE)</f>
        <v>0942</v>
      </c>
    </row>
    <row r="522" spans="30:33" hidden="1">
      <c r="AD522" t="s">
        <v>2330</v>
      </c>
      <c r="AE522" t="s">
        <v>2331</v>
      </c>
      <c r="AF522" t="str">
        <f t="shared" si="75"/>
        <v>A679078</v>
      </c>
      <c r="AG522" t="str">
        <f>VLOOKUP(AF522,AKT!$C$4:$E$324,3,FALSE)</f>
        <v>0942</v>
      </c>
    </row>
    <row r="523" spans="30:33" hidden="1">
      <c r="AD523" t="s">
        <v>2332</v>
      </c>
      <c r="AE523" t="s">
        <v>2333</v>
      </c>
      <c r="AF523" t="str">
        <f t="shared" si="75"/>
        <v>A679078</v>
      </c>
      <c r="AG523" t="str">
        <f>VLOOKUP(AF523,AKT!$C$4:$E$324,3,FALSE)</f>
        <v>0942</v>
      </c>
    </row>
    <row r="524" spans="30:33" hidden="1">
      <c r="AD524" t="s">
        <v>2334</v>
      </c>
      <c r="AE524" t="s">
        <v>2335</v>
      </c>
      <c r="AF524" t="str">
        <f t="shared" si="75"/>
        <v>A679078</v>
      </c>
      <c r="AG524" t="str">
        <f>VLOOKUP(AF524,AKT!$C$4:$E$324,3,FALSE)</f>
        <v>0942</v>
      </c>
    </row>
    <row r="525" spans="30:33" hidden="1">
      <c r="AD525" t="s">
        <v>2336</v>
      </c>
      <c r="AE525" t="s">
        <v>2337</v>
      </c>
      <c r="AF525" t="str">
        <f t="shared" si="75"/>
        <v>A679078</v>
      </c>
      <c r="AG525" t="str">
        <f>VLOOKUP(AF525,AKT!$C$4:$E$324,3,FALSE)</f>
        <v>0942</v>
      </c>
    </row>
    <row r="526" spans="30:33" hidden="1">
      <c r="AD526" t="s">
        <v>2338</v>
      </c>
      <c r="AE526" t="s">
        <v>2339</v>
      </c>
      <c r="AF526" t="str">
        <f t="shared" si="75"/>
        <v>A679078</v>
      </c>
      <c r="AG526" t="str">
        <f>VLOOKUP(AF526,AKT!$C$4:$E$324,3,FALSE)</f>
        <v>0942</v>
      </c>
    </row>
    <row r="527" spans="30:33" hidden="1">
      <c r="AD527" t="s">
        <v>2340</v>
      </c>
      <c r="AE527" t="s">
        <v>2341</v>
      </c>
      <c r="AF527" t="str">
        <f t="shared" si="75"/>
        <v>A679078</v>
      </c>
      <c r="AG527" t="str">
        <f>VLOOKUP(AF527,AKT!$C$4:$E$324,3,FALSE)</f>
        <v>0942</v>
      </c>
    </row>
    <row r="528" spans="30:33" hidden="1">
      <c r="AD528" t="s">
        <v>2342</v>
      </c>
      <c r="AE528" t="s">
        <v>2343</v>
      </c>
      <c r="AF528" t="str">
        <f t="shared" si="75"/>
        <v>A679078</v>
      </c>
      <c r="AG528" t="str">
        <f>VLOOKUP(AF528,AKT!$C$4:$E$324,3,FALSE)</f>
        <v>0942</v>
      </c>
    </row>
    <row r="529" spans="30:33" hidden="1">
      <c r="AD529" t="s">
        <v>2344</v>
      </c>
      <c r="AE529" t="s">
        <v>2345</v>
      </c>
      <c r="AF529" t="str">
        <f t="shared" si="75"/>
        <v>A679078</v>
      </c>
      <c r="AG529" t="str">
        <f>VLOOKUP(AF529,AKT!$C$4:$E$324,3,FALSE)</f>
        <v>0942</v>
      </c>
    </row>
    <row r="530" spans="30:33" hidden="1">
      <c r="AD530" t="s">
        <v>2346</v>
      </c>
      <c r="AE530" t="s">
        <v>2347</v>
      </c>
      <c r="AF530" t="str">
        <f t="shared" si="75"/>
        <v>A679078</v>
      </c>
      <c r="AG530" t="str">
        <f>VLOOKUP(AF530,AKT!$C$4:$E$324,3,FALSE)</f>
        <v>0942</v>
      </c>
    </row>
    <row r="531" spans="30:33" hidden="1">
      <c r="AD531" t="s">
        <v>2348</v>
      </c>
      <c r="AE531" t="s">
        <v>2349</v>
      </c>
      <c r="AF531" t="str">
        <f t="shared" si="75"/>
        <v>A679078</v>
      </c>
      <c r="AG531" t="str">
        <f>VLOOKUP(AF531,AKT!$C$4:$E$324,3,FALSE)</f>
        <v>0942</v>
      </c>
    </row>
    <row r="532" spans="30:33" hidden="1">
      <c r="AD532" t="s">
        <v>2350</v>
      </c>
      <c r="AE532" t="s">
        <v>2351</v>
      </c>
      <c r="AF532" t="str">
        <f t="shared" si="75"/>
        <v>A679078</v>
      </c>
      <c r="AG532" t="str">
        <f>VLOOKUP(AF532,AKT!$C$4:$E$324,3,FALSE)</f>
        <v>0942</v>
      </c>
    </row>
    <row r="533" spans="30:33" hidden="1">
      <c r="AD533" t="s">
        <v>2352</v>
      </c>
      <c r="AE533" t="s">
        <v>2353</v>
      </c>
      <c r="AF533" t="str">
        <f t="shared" si="75"/>
        <v>A679078</v>
      </c>
      <c r="AG533" t="str">
        <f>VLOOKUP(AF533,AKT!$C$4:$E$324,3,FALSE)</f>
        <v>0942</v>
      </c>
    </row>
    <row r="534" spans="30:33" hidden="1">
      <c r="AD534" t="s">
        <v>2354</v>
      </c>
      <c r="AE534" t="s">
        <v>2355</v>
      </c>
      <c r="AF534" t="str">
        <f t="shared" si="75"/>
        <v>A679078</v>
      </c>
      <c r="AG534" t="str">
        <f>VLOOKUP(AF534,AKT!$C$4:$E$324,3,FALSE)</f>
        <v>0942</v>
      </c>
    </row>
    <row r="535" spans="30:33" hidden="1">
      <c r="AD535" t="s">
        <v>2356</v>
      </c>
      <c r="AE535" t="s">
        <v>2357</v>
      </c>
      <c r="AF535" t="str">
        <f t="shared" si="75"/>
        <v>A679078</v>
      </c>
      <c r="AG535" t="str">
        <f>VLOOKUP(AF535,AKT!$C$4:$E$324,3,FALSE)</f>
        <v>0942</v>
      </c>
    </row>
    <row r="536" spans="30:33" hidden="1">
      <c r="AD536" t="s">
        <v>2358</v>
      </c>
      <c r="AE536" t="s">
        <v>2359</v>
      </c>
      <c r="AF536" t="str">
        <f t="shared" si="75"/>
        <v>A679078</v>
      </c>
      <c r="AG536" t="str">
        <f>VLOOKUP(AF536,AKT!$C$4:$E$324,3,FALSE)</f>
        <v>0942</v>
      </c>
    </row>
    <row r="537" spans="30:33" hidden="1">
      <c r="AD537" t="s">
        <v>2360</v>
      </c>
      <c r="AE537" t="s">
        <v>2361</v>
      </c>
      <c r="AF537" t="str">
        <f t="shared" si="75"/>
        <v>A679078</v>
      </c>
      <c r="AG537" t="str">
        <f>VLOOKUP(AF537,AKT!$C$4:$E$324,3,FALSE)</f>
        <v>0942</v>
      </c>
    </row>
    <row r="538" spans="30:33" hidden="1">
      <c r="AD538" t="s">
        <v>2362</v>
      </c>
      <c r="AE538" t="s">
        <v>2363</v>
      </c>
      <c r="AF538" t="str">
        <f t="shared" si="75"/>
        <v>A679078</v>
      </c>
      <c r="AG538" t="str">
        <f>VLOOKUP(AF538,AKT!$C$4:$E$324,3,FALSE)</f>
        <v>0942</v>
      </c>
    </row>
    <row r="539" spans="30:33" hidden="1">
      <c r="AD539" t="s">
        <v>2364</v>
      </c>
      <c r="AE539" t="s">
        <v>2365</v>
      </c>
      <c r="AF539" t="str">
        <f t="shared" si="75"/>
        <v>A679078</v>
      </c>
      <c r="AG539" t="str">
        <f>VLOOKUP(AF539,AKT!$C$4:$E$324,3,FALSE)</f>
        <v>0942</v>
      </c>
    </row>
    <row r="540" spans="30:33" hidden="1">
      <c r="AD540" t="s">
        <v>2366</v>
      </c>
      <c r="AE540" t="s">
        <v>2367</v>
      </c>
      <c r="AF540" t="str">
        <f t="shared" si="75"/>
        <v>A679078</v>
      </c>
      <c r="AG540" t="str">
        <f>VLOOKUP(AF540,AKT!$C$4:$E$324,3,FALSE)</f>
        <v>0942</v>
      </c>
    </row>
    <row r="541" spans="30:33" hidden="1">
      <c r="AD541" t="s">
        <v>2368</v>
      </c>
      <c r="AE541" t="s">
        <v>2369</v>
      </c>
      <c r="AF541" t="str">
        <f t="shared" si="75"/>
        <v>A679078</v>
      </c>
      <c r="AG541" t="str">
        <f>VLOOKUP(AF541,AKT!$C$4:$E$324,3,FALSE)</f>
        <v>0942</v>
      </c>
    </row>
    <row r="542" spans="30:33" hidden="1">
      <c r="AD542" t="s">
        <v>2370</v>
      </c>
      <c r="AE542" t="s">
        <v>2371</v>
      </c>
      <c r="AF542" t="str">
        <f t="shared" si="75"/>
        <v>A679078</v>
      </c>
      <c r="AG542" t="str">
        <f>VLOOKUP(AF542,AKT!$C$4:$E$324,3,FALSE)</f>
        <v>0942</v>
      </c>
    </row>
    <row r="543" spans="30:33" hidden="1">
      <c r="AD543" t="s">
        <v>2372</v>
      </c>
      <c r="AE543" t="s">
        <v>2373</v>
      </c>
      <c r="AF543" t="str">
        <f t="shared" si="75"/>
        <v>A679078</v>
      </c>
      <c r="AG543" t="str">
        <f>VLOOKUP(AF543,AKT!$C$4:$E$324,3,FALSE)</f>
        <v>0942</v>
      </c>
    </row>
    <row r="544" spans="30:33" hidden="1">
      <c r="AD544" t="s">
        <v>2374</v>
      </c>
      <c r="AE544" t="s">
        <v>2375</v>
      </c>
      <c r="AF544" t="str">
        <f t="shared" si="75"/>
        <v>A679078</v>
      </c>
      <c r="AG544" t="str">
        <f>VLOOKUP(AF544,AKT!$C$4:$E$324,3,FALSE)</f>
        <v>0942</v>
      </c>
    </row>
    <row r="545" spans="30:33" hidden="1">
      <c r="AD545" t="s">
        <v>2376</v>
      </c>
      <c r="AE545" t="s">
        <v>2377</v>
      </c>
      <c r="AF545" t="str">
        <f t="shared" si="75"/>
        <v>A679078</v>
      </c>
      <c r="AG545" t="str">
        <f>VLOOKUP(AF545,AKT!$C$4:$E$324,3,FALSE)</f>
        <v>0942</v>
      </c>
    </row>
    <row r="546" spans="30:33" hidden="1">
      <c r="AD546" t="s">
        <v>2378</v>
      </c>
      <c r="AE546" t="s">
        <v>2379</v>
      </c>
      <c r="AF546" t="str">
        <f t="shared" si="75"/>
        <v>A679078</v>
      </c>
      <c r="AG546" t="str">
        <f>VLOOKUP(AF546,AKT!$C$4:$E$324,3,FALSE)</f>
        <v>0942</v>
      </c>
    </row>
    <row r="547" spans="30:33" hidden="1">
      <c r="AD547" t="s">
        <v>2380</v>
      </c>
      <c r="AE547" t="s">
        <v>2381</v>
      </c>
      <c r="AF547" t="str">
        <f t="shared" si="75"/>
        <v>A679078</v>
      </c>
      <c r="AG547" t="str">
        <f>VLOOKUP(AF547,AKT!$C$4:$E$324,3,FALSE)</f>
        <v>0942</v>
      </c>
    </row>
    <row r="548" spans="30:33" hidden="1">
      <c r="AD548" t="s">
        <v>2382</v>
      </c>
      <c r="AE548" t="s">
        <v>2383</v>
      </c>
      <c r="AF548" t="str">
        <f t="shared" si="75"/>
        <v>A679078</v>
      </c>
      <c r="AG548" t="str">
        <f>VLOOKUP(AF548,AKT!$C$4:$E$324,3,FALSE)</f>
        <v>0942</v>
      </c>
    </row>
    <row r="549" spans="30:33" hidden="1">
      <c r="AD549" t="s">
        <v>2384</v>
      </c>
      <c r="AE549" t="s">
        <v>2385</v>
      </c>
      <c r="AF549" t="str">
        <f t="shared" si="75"/>
        <v>A679078</v>
      </c>
      <c r="AG549" t="str">
        <f>VLOOKUP(AF549,AKT!$C$4:$E$324,3,FALSE)</f>
        <v>0942</v>
      </c>
    </row>
    <row r="550" spans="30:33" hidden="1">
      <c r="AD550" t="s">
        <v>2386</v>
      </c>
      <c r="AE550" t="s">
        <v>2387</v>
      </c>
      <c r="AF550" t="str">
        <f t="shared" si="75"/>
        <v>A679078</v>
      </c>
      <c r="AG550" t="str">
        <f>VLOOKUP(AF550,AKT!$C$4:$E$324,3,FALSE)</f>
        <v>0942</v>
      </c>
    </row>
    <row r="551" spans="30:33" hidden="1">
      <c r="AD551" t="s">
        <v>2388</v>
      </c>
      <c r="AE551" t="s">
        <v>2389</v>
      </c>
      <c r="AF551" t="str">
        <f t="shared" si="75"/>
        <v>A679078</v>
      </c>
      <c r="AG551" t="str">
        <f>VLOOKUP(AF551,AKT!$C$4:$E$324,3,FALSE)</f>
        <v>0942</v>
      </c>
    </row>
    <row r="552" spans="30:33" hidden="1">
      <c r="AD552" t="s">
        <v>2390</v>
      </c>
      <c r="AE552" t="s">
        <v>1419</v>
      </c>
      <c r="AF552" t="str">
        <f t="shared" si="75"/>
        <v>A679078</v>
      </c>
      <c r="AG552" t="str">
        <f>VLOOKUP(AF552,AKT!$C$4:$E$324,3,FALSE)</f>
        <v>0942</v>
      </c>
    </row>
    <row r="553" spans="30:33" hidden="1">
      <c r="AD553" t="s">
        <v>2391</v>
      </c>
      <c r="AE553" t="s">
        <v>2392</v>
      </c>
      <c r="AF553" t="str">
        <f t="shared" si="75"/>
        <v>A679078</v>
      </c>
      <c r="AG553" t="str">
        <f>VLOOKUP(AF553,AKT!$C$4:$E$324,3,FALSE)</f>
        <v>0942</v>
      </c>
    </row>
    <row r="554" spans="30:33" hidden="1">
      <c r="AD554" t="s">
        <v>2393</v>
      </c>
      <c r="AE554" t="s">
        <v>2394</v>
      </c>
      <c r="AF554" t="str">
        <f t="shared" si="75"/>
        <v>A679078</v>
      </c>
      <c r="AG554" t="str">
        <f>VLOOKUP(AF554,AKT!$C$4:$E$324,3,FALSE)</f>
        <v>0942</v>
      </c>
    </row>
    <row r="555" spans="30:33" hidden="1">
      <c r="AD555" t="s">
        <v>2395</v>
      </c>
      <c r="AE555" t="s">
        <v>2396</v>
      </c>
      <c r="AF555" t="str">
        <f t="shared" si="75"/>
        <v>A679078</v>
      </c>
      <c r="AG555" t="str">
        <f>VLOOKUP(AF555,AKT!$C$4:$E$324,3,FALSE)</f>
        <v>0942</v>
      </c>
    </row>
    <row r="556" spans="30:33" hidden="1">
      <c r="AD556" t="s">
        <v>2397</v>
      </c>
      <c r="AE556" t="s">
        <v>2398</v>
      </c>
      <c r="AF556" t="str">
        <f t="shared" si="75"/>
        <v>A679078</v>
      </c>
      <c r="AG556" t="str">
        <f>VLOOKUP(AF556,AKT!$C$4:$E$324,3,FALSE)</f>
        <v>0942</v>
      </c>
    </row>
    <row r="557" spans="30:33" hidden="1">
      <c r="AD557" t="s">
        <v>2399</v>
      </c>
      <c r="AE557" t="s">
        <v>2400</v>
      </c>
      <c r="AF557" t="str">
        <f t="shared" si="75"/>
        <v>A679078</v>
      </c>
      <c r="AG557" t="str">
        <f>VLOOKUP(AF557,AKT!$C$4:$E$324,3,FALSE)</f>
        <v>0942</v>
      </c>
    </row>
    <row r="558" spans="30:33" hidden="1">
      <c r="AD558" t="s">
        <v>2401</v>
      </c>
      <c r="AE558" t="s">
        <v>2402</v>
      </c>
      <c r="AF558" t="str">
        <f t="shared" si="75"/>
        <v>A679078</v>
      </c>
      <c r="AG558" t="str">
        <f>VLOOKUP(AF558,AKT!$C$4:$E$324,3,FALSE)</f>
        <v>0942</v>
      </c>
    </row>
    <row r="559" spans="30:33" hidden="1">
      <c r="AD559" t="s">
        <v>2403</v>
      </c>
      <c r="AE559" t="s">
        <v>2404</v>
      </c>
      <c r="AF559" t="str">
        <f t="shared" si="75"/>
        <v>A679078</v>
      </c>
      <c r="AG559" t="str">
        <f>VLOOKUP(AF559,AKT!$C$4:$E$324,3,FALSE)</f>
        <v>0942</v>
      </c>
    </row>
    <row r="560" spans="30:33" hidden="1">
      <c r="AD560" t="s">
        <v>2405</v>
      </c>
      <c r="AE560" t="s">
        <v>2406</v>
      </c>
      <c r="AF560" t="str">
        <f t="shared" si="75"/>
        <v>A679078</v>
      </c>
      <c r="AG560" t="str">
        <f>VLOOKUP(AF560,AKT!$C$4:$E$324,3,FALSE)</f>
        <v>0942</v>
      </c>
    </row>
    <row r="561" spans="30:33" hidden="1">
      <c r="AD561" t="s">
        <v>2407</v>
      </c>
      <c r="AE561" t="s">
        <v>2408</v>
      </c>
      <c r="AF561" t="str">
        <f t="shared" si="75"/>
        <v>A679078</v>
      </c>
      <c r="AG561" t="str">
        <f>VLOOKUP(AF561,AKT!$C$4:$E$324,3,FALSE)</f>
        <v>0942</v>
      </c>
    </row>
    <row r="562" spans="30:33" hidden="1">
      <c r="AD562" t="s">
        <v>2409</v>
      </c>
      <c r="AE562" t="s">
        <v>2410</v>
      </c>
      <c r="AF562" t="str">
        <f t="shared" si="75"/>
        <v>A679078</v>
      </c>
      <c r="AG562" t="str">
        <f>VLOOKUP(AF562,AKT!$C$4:$E$324,3,FALSE)</f>
        <v>0942</v>
      </c>
    </row>
    <row r="563" spans="30:33" hidden="1">
      <c r="AD563" t="s">
        <v>2411</v>
      </c>
      <c r="AE563" t="s">
        <v>2412</v>
      </c>
      <c r="AF563" t="str">
        <f t="shared" si="75"/>
        <v>A679078</v>
      </c>
      <c r="AG563" t="str">
        <f>VLOOKUP(AF563,AKT!$C$4:$E$324,3,FALSE)</f>
        <v>0942</v>
      </c>
    </row>
    <row r="564" spans="30:33" hidden="1">
      <c r="AD564" t="s">
        <v>2413</v>
      </c>
      <c r="AE564" t="s">
        <v>2414</v>
      </c>
      <c r="AF564" t="str">
        <f t="shared" si="75"/>
        <v>A679078</v>
      </c>
      <c r="AG564" t="str">
        <f>VLOOKUP(AF564,AKT!$C$4:$E$324,3,FALSE)</f>
        <v>0942</v>
      </c>
    </row>
    <row r="565" spans="30:33" hidden="1">
      <c r="AD565" t="s">
        <v>2415</v>
      </c>
      <c r="AE565" t="s">
        <v>2416</v>
      </c>
      <c r="AF565" t="str">
        <f t="shared" si="75"/>
        <v>A679078</v>
      </c>
      <c r="AG565" t="str">
        <f>VLOOKUP(AF565,AKT!$C$4:$E$324,3,FALSE)</f>
        <v>0942</v>
      </c>
    </row>
    <row r="566" spans="30:33" hidden="1">
      <c r="AD566" t="s">
        <v>2417</v>
      </c>
      <c r="AE566" t="s">
        <v>2418</v>
      </c>
      <c r="AF566" t="str">
        <f t="shared" si="75"/>
        <v>A679078</v>
      </c>
      <c r="AG566" t="str">
        <f>VLOOKUP(AF566,AKT!$C$4:$E$324,3,FALSE)</f>
        <v>0942</v>
      </c>
    </row>
    <row r="567" spans="30:33" hidden="1">
      <c r="AD567" t="s">
        <v>2419</v>
      </c>
      <c r="AE567" t="s">
        <v>2420</v>
      </c>
      <c r="AF567" t="str">
        <f t="shared" si="75"/>
        <v>A679078</v>
      </c>
      <c r="AG567" t="str">
        <f>VLOOKUP(AF567,AKT!$C$4:$E$324,3,FALSE)</f>
        <v>0942</v>
      </c>
    </row>
    <row r="568" spans="30:33" hidden="1">
      <c r="AD568" t="s">
        <v>2421</v>
      </c>
      <c r="AE568" t="s">
        <v>2422</v>
      </c>
      <c r="AF568" t="str">
        <f t="shared" si="75"/>
        <v>A679078</v>
      </c>
      <c r="AG568" t="str">
        <f>VLOOKUP(AF568,AKT!$C$4:$E$324,3,FALSE)</f>
        <v>0942</v>
      </c>
    </row>
    <row r="569" spans="30:33" hidden="1">
      <c r="AD569" t="s">
        <v>2423</v>
      </c>
      <c r="AE569" t="s">
        <v>2424</v>
      </c>
      <c r="AF569" t="str">
        <f t="shared" si="75"/>
        <v>A679078</v>
      </c>
      <c r="AG569" t="str">
        <f>VLOOKUP(AF569,AKT!$C$4:$E$324,3,FALSE)</f>
        <v>0942</v>
      </c>
    </row>
    <row r="570" spans="30:33" hidden="1">
      <c r="AD570" t="s">
        <v>2425</v>
      </c>
      <c r="AE570" t="s">
        <v>2426</v>
      </c>
      <c r="AF570" t="str">
        <f t="shared" si="75"/>
        <v>A679078</v>
      </c>
      <c r="AG570" t="str">
        <f>VLOOKUP(AF570,AKT!$C$4:$E$324,3,FALSE)</f>
        <v>0942</v>
      </c>
    </row>
    <row r="571" spans="30:33" hidden="1">
      <c r="AD571" t="s">
        <v>2427</v>
      </c>
      <c r="AE571" t="s">
        <v>2428</v>
      </c>
      <c r="AF571" t="str">
        <f t="shared" si="75"/>
        <v>A679078</v>
      </c>
      <c r="AG571" t="str">
        <f>VLOOKUP(AF571,AKT!$C$4:$E$324,3,FALSE)</f>
        <v>0942</v>
      </c>
    </row>
    <row r="572" spans="30:33" hidden="1">
      <c r="AD572" t="s">
        <v>2429</v>
      </c>
      <c r="AE572" t="s">
        <v>2430</v>
      </c>
      <c r="AF572" t="str">
        <f t="shared" si="75"/>
        <v>A679078</v>
      </c>
      <c r="AG572" t="str">
        <f>VLOOKUP(AF572,AKT!$C$4:$E$324,3,FALSE)</f>
        <v>0942</v>
      </c>
    </row>
    <row r="573" spans="30:33" hidden="1">
      <c r="AD573" t="s">
        <v>2431</v>
      </c>
      <c r="AE573" t="s">
        <v>2432</v>
      </c>
      <c r="AF573" t="str">
        <f t="shared" si="75"/>
        <v>A679078</v>
      </c>
      <c r="AG573" t="str">
        <f>VLOOKUP(AF573,AKT!$C$4:$E$324,3,FALSE)</f>
        <v>0942</v>
      </c>
    </row>
    <row r="574" spans="30:33" hidden="1">
      <c r="AD574" t="s">
        <v>2433</v>
      </c>
      <c r="AE574" t="s">
        <v>2434</v>
      </c>
      <c r="AF574" t="str">
        <f t="shared" si="75"/>
        <v>A679078</v>
      </c>
      <c r="AG574" t="str">
        <f>VLOOKUP(AF574,AKT!$C$4:$E$324,3,FALSE)</f>
        <v>0942</v>
      </c>
    </row>
    <row r="575" spans="30:33" hidden="1">
      <c r="AD575" t="s">
        <v>2435</v>
      </c>
      <c r="AE575" t="s">
        <v>2436</v>
      </c>
      <c r="AF575" t="str">
        <f t="shared" si="75"/>
        <v>A679078</v>
      </c>
      <c r="AG575" t="str">
        <f>VLOOKUP(AF575,AKT!$C$4:$E$324,3,FALSE)</f>
        <v>0942</v>
      </c>
    </row>
    <row r="576" spans="30:33" hidden="1">
      <c r="AD576" t="s">
        <v>2437</v>
      </c>
      <c r="AE576" t="s">
        <v>2438</v>
      </c>
      <c r="AF576" t="str">
        <f t="shared" si="75"/>
        <v>A679078</v>
      </c>
      <c r="AG576" t="str">
        <f>VLOOKUP(AF576,AKT!$C$4:$E$324,3,FALSE)</f>
        <v>0942</v>
      </c>
    </row>
    <row r="577" spans="30:33" hidden="1">
      <c r="AD577" t="s">
        <v>2439</v>
      </c>
      <c r="AE577" t="s">
        <v>2440</v>
      </c>
      <c r="AF577" t="str">
        <f t="shared" si="75"/>
        <v>A679078</v>
      </c>
      <c r="AG577" t="str">
        <f>VLOOKUP(AF577,AKT!$C$4:$E$324,3,FALSE)</f>
        <v>0942</v>
      </c>
    </row>
    <row r="578" spans="30:33" hidden="1">
      <c r="AD578" t="s">
        <v>2441</v>
      </c>
      <c r="AE578" t="s">
        <v>2442</v>
      </c>
      <c r="AF578" t="str">
        <f t="shared" si="75"/>
        <v>A679078</v>
      </c>
      <c r="AG578" t="str">
        <f>VLOOKUP(AF578,AKT!$C$4:$E$324,3,FALSE)</f>
        <v>0942</v>
      </c>
    </row>
    <row r="579" spans="30:33" hidden="1">
      <c r="AD579" t="s">
        <v>2443</v>
      </c>
      <c r="AE579" t="s">
        <v>2444</v>
      </c>
      <c r="AF579" t="str">
        <f t="shared" si="75"/>
        <v>A679078</v>
      </c>
      <c r="AG579" t="str">
        <f>VLOOKUP(AF579,AKT!$C$4:$E$324,3,FALSE)</f>
        <v>0942</v>
      </c>
    </row>
    <row r="580" spans="30:33" hidden="1">
      <c r="AD580" t="s">
        <v>2445</v>
      </c>
      <c r="AE580" t="s">
        <v>2446</v>
      </c>
      <c r="AF580" t="str">
        <f t="shared" si="75"/>
        <v>A679078</v>
      </c>
      <c r="AG580" t="str">
        <f>VLOOKUP(AF580,AKT!$C$4:$E$324,3,FALSE)</f>
        <v>0942</v>
      </c>
    </row>
    <row r="581" spans="30:33" hidden="1">
      <c r="AD581" t="s">
        <v>2447</v>
      </c>
      <c r="AE581" t="s">
        <v>2448</v>
      </c>
      <c r="AF581" t="str">
        <f t="shared" si="75"/>
        <v>A679078</v>
      </c>
      <c r="AG581" t="str">
        <f>VLOOKUP(AF581,AKT!$C$4:$E$324,3,FALSE)</f>
        <v>0942</v>
      </c>
    </row>
    <row r="582" spans="30:33" hidden="1">
      <c r="AD582" t="s">
        <v>2449</v>
      </c>
      <c r="AE582" t="s">
        <v>2450</v>
      </c>
      <c r="AF582" t="str">
        <f t="shared" si="75"/>
        <v>A679078</v>
      </c>
      <c r="AG582" t="str">
        <f>VLOOKUP(AF582,AKT!$C$4:$E$324,3,FALSE)</f>
        <v>0942</v>
      </c>
    </row>
    <row r="583" spans="30:33" hidden="1">
      <c r="AD583" t="s">
        <v>2451</v>
      </c>
      <c r="AE583" t="s">
        <v>2452</v>
      </c>
      <c r="AF583" t="str">
        <f t="shared" si="75"/>
        <v>A679078</v>
      </c>
      <c r="AG583" t="str">
        <f>VLOOKUP(AF583,AKT!$C$4:$E$324,3,FALSE)</f>
        <v>0942</v>
      </c>
    </row>
    <row r="584" spans="30:33" hidden="1">
      <c r="AD584" t="s">
        <v>2453</v>
      </c>
      <c r="AE584" t="s">
        <v>2454</v>
      </c>
      <c r="AF584" t="str">
        <f t="shared" ref="AF584:AF647" si="76">LEFT(AD584,7)</f>
        <v>A679078</v>
      </c>
      <c r="AG584" t="str">
        <f>VLOOKUP(AF584,AKT!$C$4:$E$324,3,FALSE)</f>
        <v>0942</v>
      </c>
    </row>
    <row r="585" spans="30:33" hidden="1">
      <c r="AD585" t="s">
        <v>2455</v>
      </c>
      <c r="AE585" t="s">
        <v>2456</v>
      </c>
      <c r="AF585" t="str">
        <f t="shared" si="76"/>
        <v>A679078</v>
      </c>
      <c r="AG585" t="str">
        <f>VLOOKUP(AF585,AKT!$C$4:$E$324,3,FALSE)</f>
        <v>0942</v>
      </c>
    </row>
    <row r="586" spans="30:33" hidden="1">
      <c r="AD586" t="s">
        <v>2457</v>
      </c>
      <c r="AE586" t="s">
        <v>2458</v>
      </c>
      <c r="AF586" t="str">
        <f t="shared" si="76"/>
        <v>A679078</v>
      </c>
      <c r="AG586" t="str">
        <f>VLOOKUP(AF586,AKT!$C$4:$E$324,3,FALSE)</f>
        <v>0942</v>
      </c>
    </row>
    <row r="587" spans="30:33" hidden="1">
      <c r="AD587" t="s">
        <v>2459</v>
      </c>
      <c r="AE587" t="s">
        <v>2460</v>
      </c>
      <c r="AF587" t="str">
        <f t="shared" si="76"/>
        <v>A679078</v>
      </c>
      <c r="AG587" t="str">
        <f>VLOOKUP(AF587,AKT!$C$4:$E$324,3,FALSE)</f>
        <v>0942</v>
      </c>
    </row>
    <row r="588" spans="30:33" hidden="1">
      <c r="AD588" t="s">
        <v>2461</v>
      </c>
      <c r="AE588" t="s">
        <v>2462</v>
      </c>
      <c r="AF588" t="str">
        <f t="shared" si="76"/>
        <v>A679078</v>
      </c>
      <c r="AG588" t="str">
        <f>VLOOKUP(AF588,AKT!$C$4:$E$324,3,FALSE)</f>
        <v>0942</v>
      </c>
    </row>
    <row r="589" spans="30:33" hidden="1">
      <c r="AD589" t="s">
        <v>2463</v>
      </c>
      <c r="AE589" t="s">
        <v>2464</v>
      </c>
      <c r="AF589" t="str">
        <f t="shared" si="76"/>
        <v>A679078</v>
      </c>
      <c r="AG589" t="str">
        <f>VLOOKUP(AF589,AKT!$C$4:$E$324,3,FALSE)</f>
        <v>0942</v>
      </c>
    </row>
    <row r="590" spans="30:33" hidden="1">
      <c r="AD590" t="s">
        <v>2465</v>
      </c>
      <c r="AE590" t="s">
        <v>2466</v>
      </c>
      <c r="AF590" t="str">
        <f t="shared" si="76"/>
        <v>A679078</v>
      </c>
      <c r="AG590" t="str">
        <f>VLOOKUP(AF590,AKT!$C$4:$E$324,3,FALSE)</f>
        <v>0942</v>
      </c>
    </row>
    <row r="591" spans="30:33" hidden="1">
      <c r="AD591" t="s">
        <v>2467</v>
      </c>
      <c r="AE591" t="s">
        <v>2468</v>
      </c>
      <c r="AF591" t="str">
        <f t="shared" si="76"/>
        <v>A679078</v>
      </c>
      <c r="AG591" t="str">
        <f>VLOOKUP(AF591,AKT!$C$4:$E$324,3,FALSE)</f>
        <v>0942</v>
      </c>
    </row>
    <row r="592" spans="30:33" hidden="1">
      <c r="AD592" t="s">
        <v>2469</v>
      </c>
      <c r="AE592" t="s">
        <v>2470</v>
      </c>
      <c r="AF592" t="str">
        <f t="shared" si="76"/>
        <v>A679078</v>
      </c>
      <c r="AG592" t="str">
        <f>VLOOKUP(AF592,AKT!$C$4:$E$324,3,FALSE)</f>
        <v>0942</v>
      </c>
    </row>
    <row r="593" spans="30:33" hidden="1">
      <c r="AD593" t="s">
        <v>2471</v>
      </c>
      <c r="AE593" t="s">
        <v>2472</v>
      </c>
      <c r="AF593" t="str">
        <f t="shared" si="76"/>
        <v>A679078</v>
      </c>
      <c r="AG593" t="str">
        <f>VLOOKUP(AF593,AKT!$C$4:$E$324,3,FALSE)</f>
        <v>0942</v>
      </c>
    </row>
    <row r="594" spans="30:33" hidden="1">
      <c r="AD594" t="s">
        <v>2473</v>
      </c>
      <c r="AE594" t="s">
        <v>2474</v>
      </c>
      <c r="AF594" t="str">
        <f t="shared" si="76"/>
        <v>A679078</v>
      </c>
      <c r="AG594" t="str">
        <f>VLOOKUP(AF594,AKT!$C$4:$E$324,3,FALSE)</f>
        <v>0942</v>
      </c>
    </row>
    <row r="595" spans="30:33" hidden="1">
      <c r="AD595" t="s">
        <v>2475</v>
      </c>
      <c r="AE595" t="s">
        <v>2476</v>
      </c>
      <c r="AF595" t="str">
        <f t="shared" si="76"/>
        <v>A679078</v>
      </c>
      <c r="AG595" t="str">
        <f>VLOOKUP(AF595,AKT!$C$4:$E$324,3,FALSE)</f>
        <v>0942</v>
      </c>
    </row>
    <row r="596" spans="30:33" hidden="1">
      <c r="AD596" t="s">
        <v>2477</v>
      </c>
      <c r="AE596" t="s">
        <v>2478</v>
      </c>
      <c r="AF596" t="str">
        <f t="shared" si="76"/>
        <v>A679078</v>
      </c>
      <c r="AG596" t="str">
        <f>VLOOKUP(AF596,AKT!$C$4:$E$324,3,FALSE)</f>
        <v>0942</v>
      </c>
    </row>
    <row r="597" spans="30:33" hidden="1">
      <c r="AD597" t="s">
        <v>2479</v>
      </c>
      <c r="AE597" t="s">
        <v>2480</v>
      </c>
      <c r="AF597" t="str">
        <f t="shared" si="76"/>
        <v>A679078</v>
      </c>
      <c r="AG597" t="str">
        <f>VLOOKUP(AF597,AKT!$C$4:$E$324,3,FALSE)</f>
        <v>0942</v>
      </c>
    </row>
    <row r="598" spans="30:33" hidden="1">
      <c r="AD598" t="s">
        <v>2481</v>
      </c>
      <c r="AE598" t="s">
        <v>2482</v>
      </c>
      <c r="AF598" t="str">
        <f t="shared" si="76"/>
        <v>A679078</v>
      </c>
      <c r="AG598" t="str">
        <f>VLOOKUP(AF598,AKT!$C$4:$E$324,3,FALSE)</f>
        <v>0942</v>
      </c>
    </row>
    <row r="599" spans="30:33" hidden="1">
      <c r="AD599" t="s">
        <v>2483</v>
      </c>
      <c r="AE599" t="s">
        <v>2484</v>
      </c>
      <c r="AF599" t="str">
        <f t="shared" si="76"/>
        <v>A679078</v>
      </c>
      <c r="AG599" t="str">
        <f>VLOOKUP(AF599,AKT!$C$4:$E$324,3,FALSE)</f>
        <v>0942</v>
      </c>
    </row>
    <row r="600" spans="30:33" hidden="1">
      <c r="AD600" t="s">
        <v>2485</v>
      </c>
      <c r="AE600" t="s">
        <v>2486</v>
      </c>
      <c r="AF600" t="str">
        <f t="shared" si="76"/>
        <v>A679078</v>
      </c>
      <c r="AG600" t="str">
        <f>VLOOKUP(AF600,AKT!$C$4:$E$324,3,FALSE)</f>
        <v>0942</v>
      </c>
    </row>
    <row r="601" spans="30:33" hidden="1">
      <c r="AD601" t="s">
        <v>2487</v>
      </c>
      <c r="AE601" t="s">
        <v>2488</v>
      </c>
      <c r="AF601" t="str">
        <f t="shared" si="76"/>
        <v>A679078</v>
      </c>
      <c r="AG601" t="str">
        <f>VLOOKUP(AF601,AKT!$C$4:$E$324,3,FALSE)</f>
        <v>0942</v>
      </c>
    </row>
    <row r="602" spans="30:33" hidden="1">
      <c r="AD602" t="s">
        <v>2489</v>
      </c>
      <c r="AE602" t="s">
        <v>2490</v>
      </c>
      <c r="AF602" t="str">
        <f t="shared" si="76"/>
        <v>A679078</v>
      </c>
      <c r="AG602" t="str">
        <f>VLOOKUP(AF602,AKT!$C$4:$E$324,3,FALSE)</f>
        <v>0942</v>
      </c>
    </row>
    <row r="603" spans="30:33" hidden="1">
      <c r="AD603" t="s">
        <v>2491</v>
      </c>
      <c r="AE603" t="s">
        <v>2492</v>
      </c>
      <c r="AF603" t="str">
        <f t="shared" si="76"/>
        <v>A679078</v>
      </c>
      <c r="AG603" t="str">
        <f>VLOOKUP(AF603,AKT!$C$4:$E$324,3,FALSE)</f>
        <v>0942</v>
      </c>
    </row>
    <row r="604" spans="30:33" hidden="1">
      <c r="AD604" t="s">
        <v>2493</v>
      </c>
      <c r="AE604" t="s">
        <v>2494</v>
      </c>
      <c r="AF604" t="str">
        <f t="shared" si="76"/>
        <v>A679078</v>
      </c>
      <c r="AG604" t="str">
        <f>VLOOKUP(AF604,AKT!$C$4:$E$324,3,FALSE)</f>
        <v>0942</v>
      </c>
    </row>
    <row r="605" spans="30:33" hidden="1">
      <c r="AD605" t="s">
        <v>2495</v>
      </c>
      <c r="AE605" t="s">
        <v>2496</v>
      </c>
      <c r="AF605" t="str">
        <f t="shared" si="76"/>
        <v>A679078</v>
      </c>
      <c r="AG605" t="str">
        <f>VLOOKUP(AF605,AKT!$C$4:$E$324,3,FALSE)</f>
        <v>0942</v>
      </c>
    </row>
    <row r="606" spans="30:33" hidden="1">
      <c r="AD606" t="s">
        <v>2497</v>
      </c>
      <c r="AE606" t="s">
        <v>2498</v>
      </c>
      <c r="AF606" t="str">
        <f t="shared" si="76"/>
        <v>A679078</v>
      </c>
      <c r="AG606" t="str">
        <f>VLOOKUP(AF606,AKT!$C$4:$E$324,3,FALSE)</f>
        <v>0942</v>
      </c>
    </row>
    <row r="607" spans="30:33" hidden="1">
      <c r="AD607" t="s">
        <v>2499</v>
      </c>
      <c r="AE607" t="s">
        <v>2500</v>
      </c>
      <c r="AF607" t="str">
        <f t="shared" si="76"/>
        <v>A679078</v>
      </c>
      <c r="AG607" t="str">
        <f>VLOOKUP(AF607,AKT!$C$4:$E$324,3,FALSE)</f>
        <v>0942</v>
      </c>
    </row>
    <row r="608" spans="30:33" hidden="1">
      <c r="AD608" t="s">
        <v>2501</v>
      </c>
      <c r="AE608" t="s">
        <v>2502</v>
      </c>
      <c r="AF608" t="str">
        <f t="shared" si="76"/>
        <v>A679078</v>
      </c>
      <c r="AG608" t="str">
        <f>VLOOKUP(AF608,AKT!$C$4:$E$324,3,FALSE)</f>
        <v>0942</v>
      </c>
    </row>
    <row r="609" spans="30:33" hidden="1">
      <c r="AD609" t="s">
        <v>2503</v>
      </c>
      <c r="AE609" t="s">
        <v>2504</v>
      </c>
      <c r="AF609" t="str">
        <f t="shared" si="76"/>
        <v>A679078</v>
      </c>
      <c r="AG609" t="str">
        <f>VLOOKUP(AF609,AKT!$C$4:$E$324,3,FALSE)</f>
        <v>0942</v>
      </c>
    </row>
    <row r="610" spans="30:33" hidden="1">
      <c r="AD610" t="s">
        <v>2505</v>
      </c>
      <c r="AE610" t="s">
        <v>2506</v>
      </c>
      <c r="AF610" t="str">
        <f t="shared" si="76"/>
        <v>A679078</v>
      </c>
      <c r="AG610" t="str">
        <f>VLOOKUP(AF610,AKT!$C$4:$E$324,3,FALSE)</f>
        <v>0942</v>
      </c>
    </row>
    <row r="611" spans="30:33" hidden="1">
      <c r="AD611" t="s">
        <v>2507</v>
      </c>
      <c r="AE611" t="s">
        <v>2508</v>
      </c>
      <c r="AF611" t="str">
        <f t="shared" si="76"/>
        <v>A679078</v>
      </c>
      <c r="AG611" t="str">
        <f>VLOOKUP(AF611,AKT!$C$4:$E$324,3,FALSE)</f>
        <v>0942</v>
      </c>
    </row>
    <row r="612" spans="30:33" hidden="1">
      <c r="AD612" t="s">
        <v>2509</v>
      </c>
      <c r="AE612" t="s">
        <v>2510</v>
      </c>
      <c r="AF612" t="str">
        <f t="shared" si="76"/>
        <v>A679078</v>
      </c>
      <c r="AG612" t="str">
        <f>VLOOKUP(AF612,AKT!$C$4:$E$324,3,FALSE)</f>
        <v>0942</v>
      </c>
    </row>
    <row r="613" spans="30:33" hidden="1">
      <c r="AD613" t="s">
        <v>2511</v>
      </c>
      <c r="AE613" t="s">
        <v>2512</v>
      </c>
      <c r="AF613" t="str">
        <f t="shared" si="76"/>
        <v>A679078</v>
      </c>
      <c r="AG613" t="str">
        <f>VLOOKUP(AF613,AKT!$C$4:$E$324,3,FALSE)</f>
        <v>0942</v>
      </c>
    </row>
    <row r="614" spans="30:33" hidden="1">
      <c r="AD614" t="s">
        <v>2513</v>
      </c>
      <c r="AE614" t="s">
        <v>2514</v>
      </c>
      <c r="AF614" t="str">
        <f t="shared" si="76"/>
        <v>A679078</v>
      </c>
      <c r="AG614" t="str">
        <f>VLOOKUP(AF614,AKT!$C$4:$E$324,3,FALSE)</f>
        <v>0942</v>
      </c>
    </row>
    <row r="615" spans="30:33" hidden="1">
      <c r="AD615" t="s">
        <v>2515</v>
      </c>
      <c r="AE615" t="s">
        <v>2516</v>
      </c>
      <c r="AF615" t="str">
        <f t="shared" si="76"/>
        <v>A679078</v>
      </c>
      <c r="AG615" t="str">
        <f>VLOOKUP(AF615,AKT!$C$4:$E$324,3,FALSE)</f>
        <v>0942</v>
      </c>
    </row>
    <row r="616" spans="30:33" hidden="1">
      <c r="AD616" t="s">
        <v>2517</v>
      </c>
      <c r="AE616" t="s">
        <v>2518</v>
      </c>
      <c r="AF616" t="str">
        <f t="shared" si="76"/>
        <v>A679078</v>
      </c>
      <c r="AG616" t="str">
        <f>VLOOKUP(AF616,AKT!$C$4:$E$324,3,FALSE)</f>
        <v>0942</v>
      </c>
    </row>
    <row r="617" spans="30:33" hidden="1">
      <c r="AD617" t="s">
        <v>2519</v>
      </c>
      <c r="AE617" t="s">
        <v>2520</v>
      </c>
      <c r="AF617" t="str">
        <f t="shared" si="76"/>
        <v>A679078</v>
      </c>
      <c r="AG617" t="str">
        <f>VLOOKUP(AF617,AKT!$C$4:$E$324,3,FALSE)</f>
        <v>0942</v>
      </c>
    </row>
    <row r="618" spans="30:33" hidden="1">
      <c r="AD618" t="s">
        <v>2521</v>
      </c>
      <c r="AE618" t="s">
        <v>2522</v>
      </c>
      <c r="AF618" t="str">
        <f t="shared" si="76"/>
        <v>A679078</v>
      </c>
      <c r="AG618" t="str">
        <f>VLOOKUP(AF618,AKT!$C$4:$E$324,3,FALSE)</f>
        <v>0942</v>
      </c>
    </row>
    <row r="619" spans="30:33" hidden="1">
      <c r="AD619" t="s">
        <v>2523</v>
      </c>
      <c r="AE619" t="s">
        <v>2524</v>
      </c>
      <c r="AF619" t="str">
        <f t="shared" si="76"/>
        <v>A679078</v>
      </c>
      <c r="AG619" t="str">
        <f>VLOOKUP(AF619,AKT!$C$4:$E$324,3,FALSE)</f>
        <v>0942</v>
      </c>
    </row>
    <row r="620" spans="30:33" hidden="1">
      <c r="AD620" t="s">
        <v>2525</v>
      </c>
      <c r="AE620" t="s">
        <v>2526</v>
      </c>
      <c r="AF620" t="str">
        <f t="shared" si="76"/>
        <v>A679078</v>
      </c>
      <c r="AG620" t="str">
        <f>VLOOKUP(AF620,AKT!$C$4:$E$324,3,FALSE)</f>
        <v>0942</v>
      </c>
    </row>
    <row r="621" spans="30:33" hidden="1">
      <c r="AD621" t="s">
        <v>2527</v>
      </c>
      <c r="AE621" t="s">
        <v>2528</v>
      </c>
      <c r="AF621" t="str">
        <f t="shared" si="76"/>
        <v>A679078</v>
      </c>
      <c r="AG621" t="str">
        <f>VLOOKUP(AF621,AKT!$C$4:$E$324,3,FALSE)</f>
        <v>0942</v>
      </c>
    </row>
    <row r="622" spans="30:33" hidden="1">
      <c r="AD622" t="s">
        <v>2529</v>
      </c>
      <c r="AE622" t="s">
        <v>2530</v>
      </c>
      <c r="AF622" t="str">
        <f t="shared" si="76"/>
        <v>A679078</v>
      </c>
      <c r="AG622" t="str">
        <f>VLOOKUP(AF622,AKT!$C$4:$E$324,3,FALSE)</f>
        <v>0942</v>
      </c>
    </row>
    <row r="623" spans="30:33" hidden="1">
      <c r="AD623" t="s">
        <v>2531</v>
      </c>
      <c r="AE623" t="s">
        <v>2532</v>
      </c>
      <c r="AF623" t="str">
        <f t="shared" si="76"/>
        <v>A679078</v>
      </c>
      <c r="AG623" t="str">
        <f>VLOOKUP(AF623,AKT!$C$4:$E$324,3,FALSE)</f>
        <v>0942</v>
      </c>
    </row>
    <row r="624" spans="30:33" hidden="1">
      <c r="AD624" t="s">
        <v>2533</v>
      </c>
      <c r="AE624" t="s">
        <v>2534</v>
      </c>
      <c r="AF624" t="str">
        <f t="shared" si="76"/>
        <v>A679078</v>
      </c>
      <c r="AG624" t="str">
        <f>VLOOKUP(AF624,AKT!$C$4:$E$324,3,FALSE)</f>
        <v>0942</v>
      </c>
    </row>
    <row r="625" spans="30:33" hidden="1">
      <c r="AD625" t="s">
        <v>2535</v>
      </c>
      <c r="AE625" t="s">
        <v>2536</v>
      </c>
      <c r="AF625" t="str">
        <f t="shared" si="76"/>
        <v>A679078</v>
      </c>
      <c r="AG625" t="str">
        <f>VLOOKUP(AF625,AKT!$C$4:$E$324,3,FALSE)</f>
        <v>0942</v>
      </c>
    </row>
    <row r="626" spans="30:33" hidden="1">
      <c r="AD626" t="s">
        <v>2537</v>
      </c>
      <c r="AE626" t="s">
        <v>2538</v>
      </c>
      <c r="AF626" t="str">
        <f t="shared" si="76"/>
        <v>A679078</v>
      </c>
      <c r="AG626" t="str">
        <f>VLOOKUP(AF626,AKT!$C$4:$E$324,3,FALSE)</f>
        <v>0942</v>
      </c>
    </row>
    <row r="627" spans="30:33" hidden="1">
      <c r="AD627" t="s">
        <v>2539</v>
      </c>
      <c r="AE627" t="s">
        <v>2540</v>
      </c>
      <c r="AF627" t="str">
        <f t="shared" si="76"/>
        <v>A679078</v>
      </c>
      <c r="AG627" t="str">
        <f>VLOOKUP(AF627,AKT!$C$4:$E$324,3,FALSE)</f>
        <v>0942</v>
      </c>
    </row>
    <row r="628" spans="30:33" hidden="1">
      <c r="AD628" t="s">
        <v>2541</v>
      </c>
      <c r="AE628" t="s">
        <v>2542</v>
      </c>
      <c r="AF628" t="str">
        <f t="shared" si="76"/>
        <v>A679078</v>
      </c>
      <c r="AG628" t="str">
        <f>VLOOKUP(AF628,AKT!$C$4:$E$324,3,FALSE)</f>
        <v>0942</v>
      </c>
    </row>
    <row r="629" spans="30:33" hidden="1">
      <c r="AD629" t="s">
        <v>2543</v>
      </c>
      <c r="AE629" t="s">
        <v>2544</v>
      </c>
      <c r="AF629" t="str">
        <f t="shared" si="76"/>
        <v>A679078</v>
      </c>
      <c r="AG629" t="str">
        <f>VLOOKUP(AF629,AKT!$C$4:$E$324,3,FALSE)</f>
        <v>0942</v>
      </c>
    </row>
    <row r="630" spans="30:33" hidden="1">
      <c r="AD630" t="s">
        <v>2545</v>
      </c>
      <c r="AE630" t="s">
        <v>2546</v>
      </c>
      <c r="AF630" t="str">
        <f t="shared" si="76"/>
        <v>A679078</v>
      </c>
      <c r="AG630" t="str">
        <f>VLOOKUP(AF630,AKT!$C$4:$E$324,3,FALSE)</f>
        <v>0942</v>
      </c>
    </row>
    <row r="631" spans="30:33" hidden="1">
      <c r="AD631" t="s">
        <v>2547</v>
      </c>
      <c r="AE631" t="s">
        <v>2548</v>
      </c>
      <c r="AF631" t="str">
        <f t="shared" si="76"/>
        <v>A679078</v>
      </c>
      <c r="AG631" t="str">
        <f>VLOOKUP(AF631,AKT!$C$4:$E$324,3,FALSE)</f>
        <v>0942</v>
      </c>
    </row>
    <row r="632" spans="30:33" hidden="1">
      <c r="AD632" t="s">
        <v>2549</v>
      </c>
      <c r="AE632" t="s">
        <v>2550</v>
      </c>
      <c r="AF632" t="str">
        <f t="shared" si="76"/>
        <v>A679078</v>
      </c>
      <c r="AG632" t="str">
        <f>VLOOKUP(AF632,AKT!$C$4:$E$324,3,FALSE)</f>
        <v>0942</v>
      </c>
    </row>
    <row r="633" spans="30:33" hidden="1">
      <c r="AD633" t="s">
        <v>2551</v>
      </c>
      <c r="AE633" t="s">
        <v>2552</v>
      </c>
      <c r="AF633" t="str">
        <f t="shared" si="76"/>
        <v>A679078</v>
      </c>
      <c r="AG633" t="str">
        <f>VLOOKUP(AF633,AKT!$C$4:$E$324,3,FALSE)</f>
        <v>0942</v>
      </c>
    </row>
    <row r="634" spans="30:33" hidden="1">
      <c r="AD634" t="s">
        <v>2553</v>
      </c>
      <c r="AE634" t="s">
        <v>2554</v>
      </c>
      <c r="AF634" t="str">
        <f t="shared" si="76"/>
        <v>A679078</v>
      </c>
      <c r="AG634" t="str">
        <f>VLOOKUP(AF634,AKT!$C$4:$E$324,3,FALSE)</f>
        <v>0942</v>
      </c>
    </row>
    <row r="635" spans="30:33" hidden="1">
      <c r="AD635" t="s">
        <v>2555</v>
      </c>
      <c r="AE635" t="s">
        <v>2556</v>
      </c>
      <c r="AF635" t="str">
        <f t="shared" si="76"/>
        <v>A679078</v>
      </c>
      <c r="AG635" t="str">
        <f>VLOOKUP(AF635,AKT!$C$4:$E$324,3,FALSE)</f>
        <v>0942</v>
      </c>
    </row>
    <row r="636" spans="30:33" hidden="1">
      <c r="AD636" t="s">
        <v>2557</v>
      </c>
      <c r="AE636" t="s">
        <v>2558</v>
      </c>
      <c r="AF636" t="str">
        <f t="shared" si="76"/>
        <v>A679078</v>
      </c>
      <c r="AG636" t="str">
        <f>VLOOKUP(AF636,AKT!$C$4:$E$324,3,FALSE)</f>
        <v>0942</v>
      </c>
    </row>
    <row r="637" spans="30:33" hidden="1">
      <c r="AD637" t="s">
        <v>2559</v>
      </c>
      <c r="AE637" t="s">
        <v>2560</v>
      </c>
      <c r="AF637" t="str">
        <f t="shared" si="76"/>
        <v>A679078</v>
      </c>
      <c r="AG637" t="str">
        <f>VLOOKUP(AF637,AKT!$C$4:$E$324,3,FALSE)</f>
        <v>0942</v>
      </c>
    </row>
    <row r="638" spans="30:33" hidden="1">
      <c r="AD638" t="s">
        <v>2561</v>
      </c>
      <c r="AE638" t="s">
        <v>2562</v>
      </c>
      <c r="AF638" t="str">
        <f t="shared" si="76"/>
        <v>A679078</v>
      </c>
      <c r="AG638" t="str">
        <f>VLOOKUP(AF638,AKT!$C$4:$E$324,3,FALSE)</f>
        <v>0942</v>
      </c>
    </row>
    <row r="639" spans="30:33" hidden="1">
      <c r="AD639" t="s">
        <v>2563</v>
      </c>
      <c r="AE639" t="s">
        <v>2564</v>
      </c>
      <c r="AF639" t="str">
        <f t="shared" si="76"/>
        <v>A679078</v>
      </c>
      <c r="AG639" t="str">
        <f>VLOOKUP(AF639,AKT!$C$4:$E$324,3,FALSE)</f>
        <v>0942</v>
      </c>
    </row>
    <row r="640" spans="30:33" hidden="1">
      <c r="AD640" t="s">
        <v>2565</v>
      </c>
      <c r="AE640" t="s">
        <v>2566</v>
      </c>
      <c r="AF640" t="str">
        <f t="shared" si="76"/>
        <v>A679078</v>
      </c>
      <c r="AG640" t="str">
        <f>VLOOKUP(AF640,AKT!$C$4:$E$324,3,FALSE)</f>
        <v>0942</v>
      </c>
    </row>
    <row r="641" spans="30:33" hidden="1">
      <c r="AD641" t="s">
        <v>2567</v>
      </c>
      <c r="AE641" t="s">
        <v>2568</v>
      </c>
      <c r="AF641" t="str">
        <f t="shared" si="76"/>
        <v>A679078</v>
      </c>
      <c r="AG641" t="str">
        <f>VLOOKUP(AF641,AKT!$C$4:$E$324,3,FALSE)</f>
        <v>0942</v>
      </c>
    </row>
    <row r="642" spans="30:33" hidden="1">
      <c r="AD642" t="s">
        <v>2569</v>
      </c>
      <c r="AE642" t="s">
        <v>2570</v>
      </c>
      <c r="AF642" t="str">
        <f t="shared" si="76"/>
        <v>A679078</v>
      </c>
      <c r="AG642" t="str">
        <f>VLOOKUP(AF642,AKT!$C$4:$E$324,3,FALSE)</f>
        <v>0942</v>
      </c>
    </row>
    <row r="643" spans="30:33" hidden="1">
      <c r="AD643" t="s">
        <v>2571</v>
      </c>
      <c r="AE643" t="s">
        <v>2572</v>
      </c>
      <c r="AF643" t="str">
        <f t="shared" si="76"/>
        <v>A679078</v>
      </c>
      <c r="AG643" t="str">
        <f>VLOOKUP(AF643,AKT!$C$4:$E$324,3,FALSE)</f>
        <v>0942</v>
      </c>
    </row>
    <row r="644" spans="30:33" hidden="1">
      <c r="AD644" t="s">
        <v>2573</v>
      </c>
      <c r="AE644" t="s">
        <v>2574</v>
      </c>
      <c r="AF644" t="str">
        <f t="shared" si="76"/>
        <v>A679078</v>
      </c>
      <c r="AG644" t="str">
        <f>VLOOKUP(AF644,AKT!$C$4:$E$324,3,FALSE)</f>
        <v>0942</v>
      </c>
    </row>
    <row r="645" spans="30:33" hidden="1">
      <c r="AD645" t="s">
        <v>2575</v>
      </c>
      <c r="AE645" t="s">
        <v>2576</v>
      </c>
      <c r="AF645" t="str">
        <f t="shared" si="76"/>
        <v>A679078</v>
      </c>
      <c r="AG645" t="str">
        <f>VLOOKUP(AF645,AKT!$C$4:$E$324,3,FALSE)</f>
        <v>0942</v>
      </c>
    </row>
    <row r="646" spans="30:33" hidden="1">
      <c r="AD646" t="s">
        <v>2577</v>
      </c>
      <c r="AE646" t="s">
        <v>2578</v>
      </c>
      <c r="AF646" t="str">
        <f t="shared" si="76"/>
        <v>A679078</v>
      </c>
      <c r="AG646" t="str">
        <f>VLOOKUP(AF646,AKT!$C$4:$E$324,3,FALSE)</f>
        <v>0942</v>
      </c>
    </row>
    <row r="647" spans="30:33" hidden="1">
      <c r="AD647" t="s">
        <v>2579</v>
      </c>
      <c r="AE647" t="s">
        <v>2580</v>
      </c>
      <c r="AF647" t="str">
        <f t="shared" si="76"/>
        <v>A679078</v>
      </c>
      <c r="AG647" t="str">
        <f>VLOOKUP(AF647,AKT!$C$4:$E$324,3,FALSE)</f>
        <v>0942</v>
      </c>
    </row>
    <row r="648" spans="30:33" hidden="1">
      <c r="AD648" t="s">
        <v>2581</v>
      </c>
      <c r="AE648" t="s">
        <v>2582</v>
      </c>
      <c r="AF648" t="str">
        <f t="shared" ref="AF648:AF711" si="77">LEFT(AD648,7)</f>
        <v>A679078</v>
      </c>
      <c r="AG648" t="str">
        <f>VLOOKUP(AF648,AKT!$C$4:$E$324,3,FALSE)</f>
        <v>0942</v>
      </c>
    </row>
    <row r="649" spans="30:33" hidden="1">
      <c r="AD649" t="s">
        <v>2583</v>
      </c>
      <c r="AE649" t="s">
        <v>2584</v>
      </c>
      <c r="AF649" t="str">
        <f t="shared" si="77"/>
        <v>A679078</v>
      </c>
      <c r="AG649" t="str">
        <f>VLOOKUP(AF649,AKT!$C$4:$E$324,3,FALSE)</f>
        <v>0942</v>
      </c>
    </row>
    <row r="650" spans="30:33" hidden="1">
      <c r="AD650" t="s">
        <v>2585</v>
      </c>
      <c r="AE650" t="s">
        <v>2586</v>
      </c>
      <c r="AF650" t="str">
        <f t="shared" si="77"/>
        <v>A679078</v>
      </c>
      <c r="AG650" t="str">
        <f>VLOOKUP(AF650,AKT!$C$4:$E$324,3,FALSE)</f>
        <v>0942</v>
      </c>
    </row>
    <row r="651" spans="30:33" hidden="1">
      <c r="AD651" t="s">
        <v>2587</v>
      </c>
      <c r="AE651" t="s">
        <v>2588</v>
      </c>
      <c r="AF651" t="str">
        <f t="shared" si="77"/>
        <v>A679078</v>
      </c>
      <c r="AG651" t="str">
        <f>VLOOKUP(AF651,AKT!$C$4:$E$324,3,FALSE)</f>
        <v>0942</v>
      </c>
    </row>
    <row r="652" spans="30:33" hidden="1">
      <c r="AD652" t="s">
        <v>2589</v>
      </c>
      <c r="AE652" t="s">
        <v>2590</v>
      </c>
      <c r="AF652" t="str">
        <f t="shared" si="77"/>
        <v>A679078</v>
      </c>
      <c r="AG652" t="str">
        <f>VLOOKUP(AF652,AKT!$C$4:$E$324,3,FALSE)</f>
        <v>0942</v>
      </c>
    </row>
    <row r="653" spans="30:33" hidden="1">
      <c r="AD653" t="s">
        <v>2591</v>
      </c>
      <c r="AE653" t="s">
        <v>2592</v>
      </c>
      <c r="AF653" t="str">
        <f t="shared" si="77"/>
        <v>A679078</v>
      </c>
      <c r="AG653" t="str">
        <f>VLOOKUP(AF653,AKT!$C$4:$E$324,3,FALSE)</f>
        <v>0942</v>
      </c>
    </row>
    <row r="654" spans="30:33" hidden="1">
      <c r="AD654" t="s">
        <v>2593</v>
      </c>
      <c r="AE654" t="s">
        <v>2594</v>
      </c>
      <c r="AF654" t="str">
        <f t="shared" si="77"/>
        <v>A679078</v>
      </c>
      <c r="AG654" t="str">
        <f>VLOOKUP(AF654,AKT!$C$4:$E$324,3,FALSE)</f>
        <v>0942</v>
      </c>
    </row>
    <row r="655" spans="30:33" hidden="1">
      <c r="AD655" t="s">
        <v>2595</v>
      </c>
      <c r="AE655" t="s">
        <v>2596</v>
      </c>
      <c r="AF655" t="str">
        <f t="shared" si="77"/>
        <v>A679078</v>
      </c>
      <c r="AG655" t="str">
        <f>VLOOKUP(AF655,AKT!$C$4:$E$324,3,FALSE)</f>
        <v>0942</v>
      </c>
    </row>
    <row r="656" spans="30:33" hidden="1">
      <c r="AD656" t="s">
        <v>2597</v>
      </c>
      <c r="AE656" t="s">
        <v>2598</v>
      </c>
      <c r="AF656" t="str">
        <f t="shared" si="77"/>
        <v>A679078</v>
      </c>
      <c r="AG656" t="str">
        <f>VLOOKUP(AF656,AKT!$C$4:$E$324,3,FALSE)</f>
        <v>0942</v>
      </c>
    </row>
    <row r="657" spans="30:33" hidden="1">
      <c r="AD657" t="s">
        <v>2599</v>
      </c>
      <c r="AE657" t="s">
        <v>2600</v>
      </c>
      <c r="AF657" t="str">
        <f t="shared" si="77"/>
        <v>A679078</v>
      </c>
      <c r="AG657" t="str">
        <f>VLOOKUP(AF657,AKT!$C$4:$E$324,3,FALSE)</f>
        <v>0942</v>
      </c>
    </row>
    <row r="658" spans="30:33" hidden="1">
      <c r="AD658" t="s">
        <v>2601</v>
      </c>
      <c r="AE658" t="s">
        <v>2602</v>
      </c>
      <c r="AF658" t="str">
        <f t="shared" si="77"/>
        <v>A679078</v>
      </c>
      <c r="AG658" t="str">
        <f>VLOOKUP(AF658,AKT!$C$4:$E$324,3,FALSE)</f>
        <v>0942</v>
      </c>
    </row>
    <row r="659" spans="30:33" hidden="1">
      <c r="AD659" t="s">
        <v>2603</v>
      </c>
      <c r="AE659" t="s">
        <v>2604</v>
      </c>
      <c r="AF659" t="str">
        <f t="shared" si="77"/>
        <v>A679078</v>
      </c>
      <c r="AG659" t="str">
        <f>VLOOKUP(AF659,AKT!$C$4:$E$324,3,FALSE)</f>
        <v>0942</v>
      </c>
    </row>
    <row r="660" spans="30:33" hidden="1">
      <c r="AD660" t="s">
        <v>2605</v>
      </c>
      <c r="AE660" t="s">
        <v>2606</v>
      </c>
      <c r="AF660" t="str">
        <f t="shared" si="77"/>
        <v>A679078</v>
      </c>
      <c r="AG660" t="str">
        <f>VLOOKUP(AF660,AKT!$C$4:$E$324,3,FALSE)</f>
        <v>0942</v>
      </c>
    </row>
    <row r="661" spans="30:33" hidden="1">
      <c r="AD661" t="s">
        <v>2607</v>
      </c>
      <c r="AE661" t="s">
        <v>2608</v>
      </c>
      <c r="AF661" t="str">
        <f t="shared" si="77"/>
        <v>A679078</v>
      </c>
      <c r="AG661" t="str">
        <f>VLOOKUP(AF661,AKT!$C$4:$E$324,3,FALSE)</f>
        <v>0942</v>
      </c>
    </row>
    <row r="662" spans="30:33" hidden="1">
      <c r="AD662" t="s">
        <v>2609</v>
      </c>
      <c r="AE662" t="s">
        <v>2610</v>
      </c>
      <c r="AF662" t="str">
        <f t="shared" si="77"/>
        <v>A679078</v>
      </c>
      <c r="AG662" t="str">
        <f>VLOOKUP(AF662,AKT!$C$4:$E$324,3,FALSE)</f>
        <v>0942</v>
      </c>
    </row>
    <row r="663" spans="30:33" hidden="1">
      <c r="AD663" t="s">
        <v>2611</v>
      </c>
      <c r="AE663" t="s">
        <v>2612</v>
      </c>
      <c r="AF663" t="str">
        <f t="shared" si="77"/>
        <v>A679078</v>
      </c>
      <c r="AG663" t="str">
        <f>VLOOKUP(AF663,AKT!$C$4:$E$324,3,FALSE)</f>
        <v>0942</v>
      </c>
    </row>
    <row r="664" spans="30:33" hidden="1">
      <c r="AD664" t="s">
        <v>2613</v>
      </c>
      <c r="AE664" t="s">
        <v>2614</v>
      </c>
      <c r="AF664" t="str">
        <f t="shared" si="77"/>
        <v>A679078</v>
      </c>
      <c r="AG664" t="str">
        <f>VLOOKUP(AF664,AKT!$C$4:$E$324,3,FALSE)</f>
        <v>0942</v>
      </c>
    </row>
    <row r="665" spans="30:33" hidden="1">
      <c r="AD665" t="s">
        <v>2615</v>
      </c>
      <c r="AE665" t="s">
        <v>2616</v>
      </c>
      <c r="AF665" t="str">
        <f t="shared" si="77"/>
        <v>A679078</v>
      </c>
      <c r="AG665" t="str">
        <f>VLOOKUP(AF665,AKT!$C$4:$E$324,3,FALSE)</f>
        <v>0942</v>
      </c>
    </row>
    <row r="666" spans="30:33" hidden="1">
      <c r="AD666" t="s">
        <v>2617</v>
      </c>
      <c r="AE666" t="s">
        <v>2618</v>
      </c>
      <c r="AF666" t="str">
        <f t="shared" si="77"/>
        <v>A679078</v>
      </c>
      <c r="AG666" t="str">
        <f>VLOOKUP(AF666,AKT!$C$4:$E$324,3,FALSE)</f>
        <v>0942</v>
      </c>
    </row>
    <row r="667" spans="30:33" hidden="1">
      <c r="AD667" t="s">
        <v>2619</v>
      </c>
      <c r="AE667" t="s">
        <v>2620</v>
      </c>
      <c r="AF667" t="str">
        <f t="shared" si="77"/>
        <v>A679078</v>
      </c>
      <c r="AG667" t="str">
        <f>VLOOKUP(AF667,AKT!$C$4:$E$324,3,FALSE)</f>
        <v>0942</v>
      </c>
    </row>
    <row r="668" spans="30:33" hidden="1">
      <c r="AD668" t="s">
        <v>2621</v>
      </c>
      <c r="AE668" t="s">
        <v>2622</v>
      </c>
      <c r="AF668" t="str">
        <f t="shared" si="77"/>
        <v>A679078</v>
      </c>
      <c r="AG668" t="str">
        <f>VLOOKUP(AF668,AKT!$C$4:$E$324,3,FALSE)</f>
        <v>0942</v>
      </c>
    </row>
    <row r="669" spans="30:33" hidden="1">
      <c r="AD669" t="s">
        <v>2623</v>
      </c>
      <c r="AE669" t="s">
        <v>2624</v>
      </c>
      <c r="AF669" t="str">
        <f t="shared" si="77"/>
        <v>A679078</v>
      </c>
      <c r="AG669" t="str">
        <f>VLOOKUP(AF669,AKT!$C$4:$E$324,3,FALSE)</f>
        <v>0942</v>
      </c>
    </row>
    <row r="670" spans="30:33" hidden="1">
      <c r="AD670" t="s">
        <v>2625</v>
      </c>
      <c r="AE670" t="s">
        <v>2626</v>
      </c>
      <c r="AF670" t="str">
        <f t="shared" si="77"/>
        <v>A679078</v>
      </c>
      <c r="AG670" t="str">
        <f>VLOOKUP(AF670,AKT!$C$4:$E$324,3,FALSE)</f>
        <v>0942</v>
      </c>
    </row>
    <row r="671" spans="30:33" hidden="1">
      <c r="AD671" t="s">
        <v>2627</v>
      </c>
      <c r="AE671" t="s">
        <v>2628</v>
      </c>
      <c r="AF671" t="str">
        <f t="shared" si="77"/>
        <v>A679078</v>
      </c>
      <c r="AG671" t="str">
        <f>VLOOKUP(AF671,AKT!$C$4:$E$324,3,FALSE)</f>
        <v>0942</v>
      </c>
    </row>
    <row r="672" spans="30:33" hidden="1">
      <c r="AD672" t="s">
        <v>2629</v>
      </c>
      <c r="AE672" t="s">
        <v>2630</v>
      </c>
      <c r="AF672" t="str">
        <f t="shared" si="77"/>
        <v>A679078</v>
      </c>
      <c r="AG672" t="str">
        <f>VLOOKUP(AF672,AKT!$C$4:$E$324,3,FALSE)</f>
        <v>0942</v>
      </c>
    </row>
    <row r="673" spans="30:33" hidden="1">
      <c r="AD673" t="s">
        <v>2631</v>
      </c>
      <c r="AE673" t="s">
        <v>2632</v>
      </c>
      <c r="AF673" t="str">
        <f t="shared" si="77"/>
        <v>A679078</v>
      </c>
      <c r="AG673" t="str">
        <f>VLOOKUP(AF673,AKT!$C$4:$E$324,3,FALSE)</f>
        <v>0942</v>
      </c>
    </row>
    <row r="674" spans="30:33" hidden="1">
      <c r="AD674" t="s">
        <v>2633</v>
      </c>
      <c r="AE674" t="s">
        <v>2634</v>
      </c>
      <c r="AF674" t="str">
        <f t="shared" si="77"/>
        <v>A679078</v>
      </c>
      <c r="AG674" t="str">
        <f>VLOOKUP(AF674,AKT!$C$4:$E$324,3,FALSE)</f>
        <v>0942</v>
      </c>
    </row>
    <row r="675" spans="30:33" hidden="1">
      <c r="AD675" t="s">
        <v>2635</v>
      </c>
      <c r="AE675" t="s">
        <v>2636</v>
      </c>
      <c r="AF675" t="str">
        <f t="shared" si="77"/>
        <v>A679078</v>
      </c>
      <c r="AG675" t="str">
        <f>VLOOKUP(AF675,AKT!$C$4:$E$324,3,FALSE)</f>
        <v>0942</v>
      </c>
    </row>
    <row r="676" spans="30:33" hidden="1">
      <c r="AD676" t="s">
        <v>2637</v>
      </c>
      <c r="AE676" t="s">
        <v>2638</v>
      </c>
      <c r="AF676" t="str">
        <f t="shared" si="77"/>
        <v>A679078</v>
      </c>
      <c r="AG676" t="str">
        <f>VLOOKUP(AF676,AKT!$C$4:$E$324,3,FALSE)</f>
        <v>0942</v>
      </c>
    </row>
    <row r="677" spans="30:33" hidden="1">
      <c r="AD677" t="s">
        <v>2639</v>
      </c>
      <c r="AE677" t="s">
        <v>2640</v>
      </c>
      <c r="AF677" t="str">
        <f t="shared" si="77"/>
        <v>A679078</v>
      </c>
      <c r="AG677" t="str">
        <f>VLOOKUP(AF677,AKT!$C$4:$E$324,3,FALSE)</f>
        <v>0942</v>
      </c>
    </row>
    <row r="678" spans="30:33" hidden="1">
      <c r="AD678" t="s">
        <v>2641</v>
      </c>
      <c r="AE678" t="s">
        <v>2642</v>
      </c>
      <c r="AF678" t="str">
        <f t="shared" si="77"/>
        <v>A679078</v>
      </c>
      <c r="AG678" t="str">
        <f>VLOOKUP(AF678,AKT!$C$4:$E$324,3,FALSE)</f>
        <v>0942</v>
      </c>
    </row>
    <row r="679" spans="30:33" hidden="1">
      <c r="AD679" t="s">
        <v>2643</v>
      </c>
      <c r="AE679" t="s">
        <v>2644</v>
      </c>
      <c r="AF679" t="str">
        <f t="shared" si="77"/>
        <v>A679078</v>
      </c>
      <c r="AG679" t="str">
        <f>VLOOKUP(AF679,AKT!$C$4:$E$324,3,FALSE)</f>
        <v>0942</v>
      </c>
    </row>
    <row r="680" spans="30:33" hidden="1">
      <c r="AD680" t="s">
        <v>2645</v>
      </c>
      <c r="AE680" t="s">
        <v>2646</v>
      </c>
      <c r="AF680" t="str">
        <f t="shared" si="77"/>
        <v>A679078</v>
      </c>
      <c r="AG680" t="str">
        <f>VLOOKUP(AF680,AKT!$C$4:$E$324,3,FALSE)</f>
        <v>0942</v>
      </c>
    </row>
    <row r="681" spans="30:33" hidden="1">
      <c r="AD681" t="s">
        <v>2647</v>
      </c>
      <c r="AE681" t="s">
        <v>2648</v>
      </c>
      <c r="AF681" t="str">
        <f t="shared" si="77"/>
        <v>A679078</v>
      </c>
      <c r="AG681" t="str">
        <f>VLOOKUP(AF681,AKT!$C$4:$E$324,3,FALSE)</f>
        <v>0942</v>
      </c>
    </row>
    <row r="682" spans="30:33" hidden="1">
      <c r="AD682" t="s">
        <v>2649</v>
      </c>
      <c r="AE682" t="s">
        <v>2650</v>
      </c>
      <c r="AF682" t="str">
        <f t="shared" si="77"/>
        <v>A679078</v>
      </c>
      <c r="AG682" t="str">
        <f>VLOOKUP(AF682,AKT!$C$4:$E$324,3,FALSE)</f>
        <v>0942</v>
      </c>
    </row>
    <row r="683" spans="30:33" hidden="1">
      <c r="AD683" t="s">
        <v>2651</v>
      </c>
      <c r="AE683" t="s">
        <v>2652</v>
      </c>
      <c r="AF683" t="str">
        <f t="shared" si="77"/>
        <v>A679078</v>
      </c>
      <c r="AG683" t="str">
        <f>VLOOKUP(AF683,AKT!$C$4:$E$324,3,FALSE)</f>
        <v>0942</v>
      </c>
    </row>
    <row r="684" spans="30:33" hidden="1">
      <c r="AD684" t="s">
        <v>2653</v>
      </c>
      <c r="AE684" t="s">
        <v>2654</v>
      </c>
      <c r="AF684" t="str">
        <f t="shared" si="77"/>
        <v>A679078</v>
      </c>
      <c r="AG684" t="str">
        <f>VLOOKUP(AF684,AKT!$C$4:$E$324,3,FALSE)</f>
        <v>0942</v>
      </c>
    </row>
    <row r="685" spans="30:33" hidden="1">
      <c r="AD685" t="s">
        <v>2655</v>
      </c>
      <c r="AE685" t="s">
        <v>2656</v>
      </c>
      <c r="AF685" t="str">
        <f t="shared" si="77"/>
        <v>A679078</v>
      </c>
      <c r="AG685" t="str">
        <f>VLOOKUP(AF685,AKT!$C$4:$E$324,3,FALSE)</f>
        <v>0942</v>
      </c>
    </row>
    <row r="686" spans="30:33" hidden="1">
      <c r="AD686" t="s">
        <v>2657</v>
      </c>
      <c r="AE686" t="s">
        <v>2658</v>
      </c>
      <c r="AF686" t="str">
        <f t="shared" si="77"/>
        <v>A679078</v>
      </c>
      <c r="AG686" t="str">
        <f>VLOOKUP(AF686,AKT!$C$4:$E$324,3,FALSE)</f>
        <v>0942</v>
      </c>
    </row>
    <row r="687" spans="30:33" hidden="1">
      <c r="AD687" t="s">
        <v>2659</v>
      </c>
      <c r="AE687" t="s">
        <v>2660</v>
      </c>
      <c r="AF687" t="str">
        <f t="shared" si="77"/>
        <v>A679078</v>
      </c>
      <c r="AG687" t="str">
        <f>VLOOKUP(AF687,AKT!$C$4:$E$324,3,FALSE)</f>
        <v>0942</v>
      </c>
    </row>
    <row r="688" spans="30:33" hidden="1">
      <c r="AD688" t="s">
        <v>2661</v>
      </c>
      <c r="AE688" t="s">
        <v>2662</v>
      </c>
      <c r="AF688" t="str">
        <f t="shared" si="77"/>
        <v>A679078</v>
      </c>
      <c r="AG688" t="str">
        <f>VLOOKUP(AF688,AKT!$C$4:$E$324,3,FALSE)</f>
        <v>0942</v>
      </c>
    </row>
    <row r="689" spans="30:33" hidden="1">
      <c r="AD689" t="s">
        <v>2663</v>
      </c>
      <c r="AE689" t="s">
        <v>2664</v>
      </c>
      <c r="AF689" t="str">
        <f t="shared" si="77"/>
        <v>A679078</v>
      </c>
      <c r="AG689" t="str">
        <f>VLOOKUP(AF689,AKT!$C$4:$E$324,3,FALSE)</f>
        <v>0942</v>
      </c>
    </row>
    <row r="690" spans="30:33" hidden="1">
      <c r="AD690" t="s">
        <v>2665</v>
      </c>
      <c r="AE690" t="s">
        <v>2666</v>
      </c>
      <c r="AF690" t="str">
        <f t="shared" si="77"/>
        <v>A679078</v>
      </c>
      <c r="AG690" t="str">
        <f>VLOOKUP(AF690,AKT!$C$4:$E$324,3,FALSE)</f>
        <v>0942</v>
      </c>
    </row>
    <row r="691" spans="30:33" hidden="1">
      <c r="AD691" t="s">
        <v>2667</v>
      </c>
      <c r="AE691" t="s">
        <v>2668</v>
      </c>
      <c r="AF691" t="str">
        <f t="shared" si="77"/>
        <v>A679078</v>
      </c>
      <c r="AG691" t="str">
        <f>VLOOKUP(AF691,AKT!$C$4:$E$324,3,FALSE)</f>
        <v>0942</v>
      </c>
    </row>
    <row r="692" spans="30:33" hidden="1">
      <c r="AD692" t="s">
        <v>2669</v>
      </c>
      <c r="AE692" t="s">
        <v>2670</v>
      </c>
      <c r="AF692" t="str">
        <f t="shared" si="77"/>
        <v>A679078</v>
      </c>
      <c r="AG692" t="str">
        <f>VLOOKUP(AF692,AKT!$C$4:$E$324,3,FALSE)</f>
        <v>0942</v>
      </c>
    </row>
    <row r="693" spans="30:33" hidden="1">
      <c r="AD693" t="s">
        <v>2671</v>
      </c>
      <c r="AE693" t="s">
        <v>2672</v>
      </c>
      <c r="AF693" t="str">
        <f t="shared" si="77"/>
        <v>A679078</v>
      </c>
      <c r="AG693" t="str">
        <f>VLOOKUP(AF693,AKT!$C$4:$E$324,3,FALSE)</f>
        <v>0942</v>
      </c>
    </row>
    <row r="694" spans="30:33" hidden="1">
      <c r="AD694" t="s">
        <v>2673</v>
      </c>
      <c r="AE694" t="s">
        <v>2674</v>
      </c>
      <c r="AF694" t="str">
        <f t="shared" si="77"/>
        <v>A679078</v>
      </c>
      <c r="AG694" t="str">
        <f>VLOOKUP(AF694,AKT!$C$4:$E$324,3,FALSE)</f>
        <v>0942</v>
      </c>
    </row>
    <row r="695" spans="30:33" hidden="1">
      <c r="AD695" t="s">
        <v>2675</v>
      </c>
      <c r="AE695" t="s">
        <v>2676</v>
      </c>
      <c r="AF695" t="str">
        <f t="shared" si="77"/>
        <v>A679078</v>
      </c>
      <c r="AG695" t="str">
        <f>VLOOKUP(AF695,AKT!$C$4:$E$324,3,FALSE)</f>
        <v>0942</v>
      </c>
    </row>
    <row r="696" spans="30:33" hidden="1">
      <c r="AD696" t="s">
        <v>2677</v>
      </c>
      <c r="AE696" t="s">
        <v>2678</v>
      </c>
      <c r="AF696" t="str">
        <f t="shared" si="77"/>
        <v>A679078</v>
      </c>
      <c r="AG696" t="str">
        <f>VLOOKUP(AF696,AKT!$C$4:$E$324,3,FALSE)</f>
        <v>0942</v>
      </c>
    </row>
    <row r="697" spans="30:33" hidden="1">
      <c r="AD697" t="s">
        <v>2679</v>
      </c>
      <c r="AE697" t="s">
        <v>2680</v>
      </c>
      <c r="AF697" t="str">
        <f t="shared" si="77"/>
        <v>A679078</v>
      </c>
      <c r="AG697" t="str">
        <f>VLOOKUP(AF697,AKT!$C$4:$E$324,3,FALSE)</f>
        <v>0942</v>
      </c>
    </row>
    <row r="698" spans="30:33" hidden="1">
      <c r="AD698" t="s">
        <v>2681</v>
      </c>
      <c r="AE698" t="s">
        <v>2682</v>
      </c>
      <c r="AF698" t="str">
        <f t="shared" si="77"/>
        <v>A679078</v>
      </c>
      <c r="AG698" t="str">
        <f>VLOOKUP(AF698,AKT!$C$4:$E$324,3,FALSE)</f>
        <v>0942</v>
      </c>
    </row>
    <row r="699" spans="30:33" hidden="1">
      <c r="AD699" t="s">
        <v>2683</v>
      </c>
      <c r="AE699" t="s">
        <v>2684</v>
      </c>
      <c r="AF699" t="str">
        <f t="shared" si="77"/>
        <v>A679078</v>
      </c>
      <c r="AG699" t="str">
        <f>VLOOKUP(AF699,AKT!$C$4:$E$324,3,FALSE)</f>
        <v>0942</v>
      </c>
    </row>
    <row r="700" spans="30:33" hidden="1">
      <c r="AD700" t="s">
        <v>2685</v>
      </c>
      <c r="AE700" t="s">
        <v>2686</v>
      </c>
      <c r="AF700" t="str">
        <f t="shared" si="77"/>
        <v>A679078</v>
      </c>
      <c r="AG700" t="str">
        <f>VLOOKUP(AF700,AKT!$C$4:$E$324,3,FALSE)</f>
        <v>0942</v>
      </c>
    </row>
    <row r="701" spans="30:33" hidden="1">
      <c r="AD701" t="s">
        <v>2687</v>
      </c>
      <c r="AE701" t="s">
        <v>2688</v>
      </c>
      <c r="AF701" t="str">
        <f t="shared" si="77"/>
        <v>A679078</v>
      </c>
      <c r="AG701" t="str">
        <f>VLOOKUP(AF701,AKT!$C$4:$E$324,3,FALSE)</f>
        <v>0942</v>
      </c>
    </row>
    <row r="702" spans="30:33" hidden="1">
      <c r="AD702" t="s">
        <v>2689</v>
      </c>
      <c r="AE702" t="s">
        <v>2690</v>
      </c>
      <c r="AF702" t="str">
        <f t="shared" si="77"/>
        <v>A679078</v>
      </c>
      <c r="AG702" t="str">
        <f>VLOOKUP(AF702,AKT!$C$4:$E$324,3,FALSE)</f>
        <v>0942</v>
      </c>
    </row>
    <row r="703" spans="30:33" hidden="1">
      <c r="AD703" t="s">
        <v>2691</v>
      </c>
      <c r="AE703" t="s">
        <v>2692</v>
      </c>
      <c r="AF703" t="str">
        <f t="shared" si="77"/>
        <v>A679078</v>
      </c>
      <c r="AG703" t="str">
        <f>VLOOKUP(AF703,AKT!$C$4:$E$324,3,FALSE)</f>
        <v>0942</v>
      </c>
    </row>
    <row r="704" spans="30:33" hidden="1">
      <c r="AD704" t="s">
        <v>2693</v>
      </c>
      <c r="AE704" t="s">
        <v>2694</v>
      </c>
      <c r="AF704" t="str">
        <f t="shared" si="77"/>
        <v>A679078</v>
      </c>
      <c r="AG704" t="str">
        <f>VLOOKUP(AF704,AKT!$C$4:$E$324,3,FALSE)</f>
        <v>0942</v>
      </c>
    </row>
    <row r="705" spans="30:33" hidden="1">
      <c r="AD705" t="s">
        <v>2695</v>
      </c>
      <c r="AE705" t="s">
        <v>2696</v>
      </c>
      <c r="AF705" t="str">
        <f t="shared" si="77"/>
        <v>A679078</v>
      </c>
      <c r="AG705" t="str">
        <f>VLOOKUP(AF705,AKT!$C$4:$E$324,3,FALSE)</f>
        <v>0942</v>
      </c>
    </row>
    <row r="706" spans="30:33" hidden="1">
      <c r="AD706" t="s">
        <v>2697</v>
      </c>
      <c r="AE706" t="s">
        <v>2698</v>
      </c>
      <c r="AF706" t="str">
        <f t="shared" si="77"/>
        <v>A679078</v>
      </c>
      <c r="AG706" t="str">
        <f>VLOOKUP(AF706,AKT!$C$4:$E$324,3,FALSE)</f>
        <v>0942</v>
      </c>
    </row>
    <row r="707" spans="30:33" hidden="1">
      <c r="AD707" t="s">
        <v>2699</v>
      </c>
      <c r="AE707" t="s">
        <v>2700</v>
      </c>
      <c r="AF707" t="str">
        <f t="shared" si="77"/>
        <v>A679078</v>
      </c>
      <c r="AG707" t="str">
        <f>VLOOKUP(AF707,AKT!$C$4:$E$324,3,FALSE)</f>
        <v>0942</v>
      </c>
    </row>
    <row r="708" spans="30:33" hidden="1">
      <c r="AD708" t="s">
        <v>2701</v>
      </c>
      <c r="AE708" t="s">
        <v>2702</v>
      </c>
      <c r="AF708" t="str">
        <f t="shared" si="77"/>
        <v>A679078</v>
      </c>
      <c r="AG708" t="str">
        <f>VLOOKUP(AF708,AKT!$C$4:$E$324,3,FALSE)</f>
        <v>0942</v>
      </c>
    </row>
    <row r="709" spans="30:33" hidden="1">
      <c r="AD709" t="s">
        <v>2703</v>
      </c>
      <c r="AE709" t="s">
        <v>2704</v>
      </c>
      <c r="AF709" t="str">
        <f t="shared" si="77"/>
        <v>A679078</v>
      </c>
      <c r="AG709" t="str">
        <f>VLOOKUP(AF709,AKT!$C$4:$E$324,3,FALSE)</f>
        <v>0942</v>
      </c>
    </row>
    <row r="710" spans="30:33" hidden="1">
      <c r="AD710" t="s">
        <v>2705</v>
      </c>
      <c r="AE710" t="s">
        <v>2706</v>
      </c>
      <c r="AF710" t="str">
        <f t="shared" si="77"/>
        <v>A679078</v>
      </c>
      <c r="AG710" t="str">
        <f>VLOOKUP(AF710,AKT!$C$4:$E$324,3,FALSE)</f>
        <v>0942</v>
      </c>
    </row>
    <row r="711" spans="30:33" hidden="1">
      <c r="AD711" t="s">
        <v>2707</v>
      </c>
      <c r="AE711" t="s">
        <v>2708</v>
      </c>
      <c r="AF711" t="str">
        <f t="shared" si="77"/>
        <v>A679078</v>
      </c>
      <c r="AG711" t="str">
        <f>VLOOKUP(AF711,AKT!$C$4:$E$324,3,FALSE)</f>
        <v>0942</v>
      </c>
    </row>
    <row r="712" spans="30:33" hidden="1">
      <c r="AD712" t="s">
        <v>2709</v>
      </c>
      <c r="AE712" t="s">
        <v>2710</v>
      </c>
      <c r="AF712" t="str">
        <f t="shared" ref="AF712:AF775" si="78">LEFT(AD712,7)</f>
        <v>A679078</v>
      </c>
      <c r="AG712" t="str">
        <f>VLOOKUP(AF712,AKT!$C$4:$E$324,3,FALSE)</f>
        <v>0942</v>
      </c>
    </row>
    <row r="713" spans="30:33" hidden="1">
      <c r="AD713" t="s">
        <v>2711</v>
      </c>
      <c r="AE713" t="s">
        <v>2712</v>
      </c>
      <c r="AF713" t="str">
        <f t="shared" si="78"/>
        <v>A679078</v>
      </c>
      <c r="AG713" t="str">
        <f>VLOOKUP(AF713,AKT!$C$4:$E$324,3,FALSE)</f>
        <v>0942</v>
      </c>
    </row>
    <row r="714" spans="30:33" hidden="1">
      <c r="AD714" t="s">
        <v>2713</v>
      </c>
      <c r="AE714" t="s">
        <v>2714</v>
      </c>
      <c r="AF714" t="str">
        <f t="shared" si="78"/>
        <v>A679078</v>
      </c>
      <c r="AG714" t="str">
        <f>VLOOKUP(AF714,AKT!$C$4:$E$324,3,FALSE)</f>
        <v>0942</v>
      </c>
    </row>
    <row r="715" spans="30:33" hidden="1">
      <c r="AD715" t="s">
        <v>2715</v>
      </c>
      <c r="AE715" t="s">
        <v>2716</v>
      </c>
      <c r="AF715" t="str">
        <f t="shared" si="78"/>
        <v>A679078</v>
      </c>
      <c r="AG715" t="str">
        <f>VLOOKUP(AF715,AKT!$C$4:$E$324,3,FALSE)</f>
        <v>0942</v>
      </c>
    </row>
    <row r="716" spans="30:33" hidden="1">
      <c r="AD716" t="s">
        <v>2717</v>
      </c>
      <c r="AE716" t="s">
        <v>2718</v>
      </c>
      <c r="AF716" t="str">
        <f t="shared" si="78"/>
        <v>A679078</v>
      </c>
      <c r="AG716" t="str">
        <f>VLOOKUP(AF716,AKT!$C$4:$E$324,3,FALSE)</f>
        <v>0942</v>
      </c>
    </row>
    <row r="717" spans="30:33" hidden="1">
      <c r="AD717" t="s">
        <v>2719</v>
      </c>
      <c r="AE717" t="s">
        <v>2720</v>
      </c>
      <c r="AF717" t="str">
        <f t="shared" si="78"/>
        <v>A679078</v>
      </c>
      <c r="AG717" t="str">
        <f>VLOOKUP(AF717,AKT!$C$4:$E$324,3,FALSE)</f>
        <v>0942</v>
      </c>
    </row>
    <row r="718" spans="30:33" hidden="1">
      <c r="AD718" t="s">
        <v>2721</v>
      </c>
      <c r="AE718" t="s">
        <v>2722</v>
      </c>
      <c r="AF718" t="str">
        <f t="shared" si="78"/>
        <v>A679078</v>
      </c>
      <c r="AG718" t="str">
        <f>VLOOKUP(AF718,AKT!$C$4:$E$324,3,FALSE)</f>
        <v>0942</v>
      </c>
    </row>
    <row r="719" spans="30:33" hidden="1">
      <c r="AD719" t="s">
        <v>2723</v>
      </c>
      <c r="AE719" t="s">
        <v>2724</v>
      </c>
      <c r="AF719" t="str">
        <f t="shared" si="78"/>
        <v>A679078</v>
      </c>
      <c r="AG719" t="str">
        <f>VLOOKUP(AF719,AKT!$C$4:$E$324,3,FALSE)</f>
        <v>0942</v>
      </c>
    </row>
    <row r="720" spans="30:33" hidden="1">
      <c r="AD720" t="s">
        <v>2725</v>
      </c>
      <c r="AE720" t="s">
        <v>2726</v>
      </c>
      <c r="AF720" t="str">
        <f t="shared" si="78"/>
        <v>A679078</v>
      </c>
      <c r="AG720" t="str">
        <f>VLOOKUP(AF720,AKT!$C$4:$E$324,3,FALSE)</f>
        <v>0942</v>
      </c>
    </row>
    <row r="721" spans="30:33" hidden="1">
      <c r="AD721" t="s">
        <v>2727</v>
      </c>
      <c r="AE721" t="s">
        <v>2728</v>
      </c>
      <c r="AF721" t="str">
        <f t="shared" si="78"/>
        <v>A679078</v>
      </c>
      <c r="AG721" t="str">
        <f>VLOOKUP(AF721,AKT!$C$4:$E$324,3,FALSE)</f>
        <v>0942</v>
      </c>
    </row>
    <row r="722" spans="30:33" hidden="1">
      <c r="AD722" t="s">
        <v>2729</v>
      </c>
      <c r="AE722" t="s">
        <v>2730</v>
      </c>
      <c r="AF722" t="str">
        <f t="shared" si="78"/>
        <v>A679078</v>
      </c>
      <c r="AG722" t="str">
        <f>VLOOKUP(AF722,AKT!$C$4:$E$324,3,FALSE)</f>
        <v>0942</v>
      </c>
    </row>
    <row r="723" spans="30:33" hidden="1">
      <c r="AD723" t="s">
        <v>2731</v>
      </c>
      <c r="AE723" t="s">
        <v>2732</v>
      </c>
      <c r="AF723" t="str">
        <f t="shared" si="78"/>
        <v>A679078</v>
      </c>
      <c r="AG723" t="str">
        <f>VLOOKUP(AF723,AKT!$C$4:$E$324,3,FALSE)</f>
        <v>0942</v>
      </c>
    </row>
    <row r="724" spans="30:33" hidden="1">
      <c r="AD724" t="s">
        <v>2733</v>
      </c>
      <c r="AE724" t="s">
        <v>2734</v>
      </c>
      <c r="AF724" t="str">
        <f t="shared" si="78"/>
        <v>A679078</v>
      </c>
      <c r="AG724" t="str">
        <f>VLOOKUP(AF724,AKT!$C$4:$E$324,3,FALSE)</f>
        <v>0942</v>
      </c>
    </row>
    <row r="725" spans="30:33" hidden="1">
      <c r="AD725" t="s">
        <v>2735</v>
      </c>
      <c r="AE725" t="s">
        <v>2736</v>
      </c>
      <c r="AF725" t="str">
        <f t="shared" si="78"/>
        <v>A679078</v>
      </c>
      <c r="AG725" t="str">
        <f>VLOOKUP(AF725,AKT!$C$4:$E$324,3,FALSE)</f>
        <v>0942</v>
      </c>
    </row>
    <row r="726" spans="30:33" hidden="1">
      <c r="AD726" t="s">
        <v>2737</v>
      </c>
      <c r="AE726" t="s">
        <v>2738</v>
      </c>
      <c r="AF726" t="str">
        <f t="shared" si="78"/>
        <v>A679078</v>
      </c>
      <c r="AG726" t="str">
        <f>VLOOKUP(AF726,AKT!$C$4:$E$324,3,FALSE)</f>
        <v>0942</v>
      </c>
    </row>
    <row r="727" spans="30:33" hidden="1">
      <c r="AD727" t="s">
        <v>2739</v>
      </c>
      <c r="AE727" t="s">
        <v>2740</v>
      </c>
      <c r="AF727" t="str">
        <f t="shared" si="78"/>
        <v>A679078</v>
      </c>
      <c r="AG727" t="str">
        <f>VLOOKUP(AF727,AKT!$C$4:$E$324,3,FALSE)</f>
        <v>0942</v>
      </c>
    </row>
    <row r="728" spans="30:33" hidden="1">
      <c r="AD728" t="s">
        <v>2741</v>
      </c>
      <c r="AE728" t="s">
        <v>2742</v>
      </c>
      <c r="AF728" t="str">
        <f t="shared" si="78"/>
        <v>A679078</v>
      </c>
      <c r="AG728" t="str">
        <f>VLOOKUP(AF728,AKT!$C$4:$E$324,3,FALSE)</f>
        <v>0942</v>
      </c>
    </row>
    <row r="729" spans="30:33" hidden="1">
      <c r="AD729" t="s">
        <v>2743</v>
      </c>
      <c r="AE729" t="s">
        <v>2744</v>
      </c>
      <c r="AF729" t="str">
        <f t="shared" si="78"/>
        <v>A679078</v>
      </c>
      <c r="AG729" t="str">
        <f>VLOOKUP(AF729,AKT!$C$4:$E$324,3,FALSE)</f>
        <v>0942</v>
      </c>
    </row>
    <row r="730" spans="30:33" hidden="1">
      <c r="AD730" t="s">
        <v>2745</v>
      </c>
      <c r="AE730" t="s">
        <v>2746</v>
      </c>
      <c r="AF730" t="str">
        <f t="shared" si="78"/>
        <v>A679078</v>
      </c>
      <c r="AG730" t="str">
        <f>VLOOKUP(AF730,AKT!$C$4:$E$324,3,FALSE)</f>
        <v>0942</v>
      </c>
    </row>
    <row r="731" spans="30:33" hidden="1">
      <c r="AD731" t="s">
        <v>2747</v>
      </c>
      <c r="AE731" t="s">
        <v>2748</v>
      </c>
      <c r="AF731" t="str">
        <f t="shared" si="78"/>
        <v>A679078</v>
      </c>
      <c r="AG731" t="str">
        <f>VLOOKUP(AF731,AKT!$C$4:$E$324,3,FALSE)</f>
        <v>0942</v>
      </c>
    </row>
    <row r="732" spans="30:33" hidden="1">
      <c r="AD732" t="s">
        <v>2749</v>
      </c>
      <c r="AE732" t="s">
        <v>2750</v>
      </c>
      <c r="AF732" t="str">
        <f t="shared" si="78"/>
        <v>A679078</v>
      </c>
      <c r="AG732" t="str">
        <f>VLOOKUP(AF732,AKT!$C$4:$E$324,3,FALSE)</f>
        <v>0942</v>
      </c>
    </row>
    <row r="733" spans="30:33" hidden="1">
      <c r="AD733" t="s">
        <v>2751</v>
      </c>
      <c r="AE733" t="s">
        <v>2752</v>
      </c>
      <c r="AF733" t="str">
        <f t="shared" si="78"/>
        <v>A679078</v>
      </c>
      <c r="AG733" t="str">
        <f>VLOOKUP(AF733,AKT!$C$4:$E$324,3,FALSE)</f>
        <v>0942</v>
      </c>
    </row>
    <row r="734" spans="30:33" hidden="1">
      <c r="AD734" t="s">
        <v>2753</v>
      </c>
      <c r="AE734" t="s">
        <v>2754</v>
      </c>
      <c r="AF734" t="str">
        <f t="shared" si="78"/>
        <v>A679078</v>
      </c>
      <c r="AG734" t="str">
        <f>VLOOKUP(AF734,AKT!$C$4:$E$324,3,FALSE)</f>
        <v>0942</v>
      </c>
    </row>
    <row r="735" spans="30:33" hidden="1">
      <c r="AD735" t="s">
        <v>2755</v>
      </c>
      <c r="AE735" t="s">
        <v>2756</v>
      </c>
      <c r="AF735" t="str">
        <f t="shared" si="78"/>
        <v>A679078</v>
      </c>
      <c r="AG735" t="str">
        <f>VLOOKUP(AF735,AKT!$C$4:$E$324,3,FALSE)</f>
        <v>0942</v>
      </c>
    </row>
    <row r="736" spans="30:33" hidden="1">
      <c r="AD736" t="s">
        <v>2757</v>
      </c>
      <c r="AE736" t="s">
        <v>2758</v>
      </c>
      <c r="AF736" t="str">
        <f t="shared" si="78"/>
        <v>A679078</v>
      </c>
      <c r="AG736" t="str">
        <f>VLOOKUP(AF736,AKT!$C$4:$E$324,3,FALSE)</f>
        <v>0942</v>
      </c>
    </row>
    <row r="737" spans="30:33" hidden="1">
      <c r="AD737" t="s">
        <v>2759</v>
      </c>
      <c r="AE737" t="s">
        <v>2760</v>
      </c>
      <c r="AF737" t="str">
        <f t="shared" si="78"/>
        <v>A679078</v>
      </c>
      <c r="AG737" t="str">
        <f>VLOOKUP(AF737,AKT!$C$4:$E$324,3,FALSE)</f>
        <v>0942</v>
      </c>
    </row>
    <row r="738" spans="30:33" hidden="1">
      <c r="AD738" t="s">
        <v>2761</v>
      </c>
      <c r="AE738" t="s">
        <v>2281</v>
      </c>
      <c r="AF738" t="str">
        <f t="shared" si="78"/>
        <v>A679078</v>
      </c>
      <c r="AG738" t="str">
        <f>VLOOKUP(AF738,AKT!$C$4:$E$324,3,FALSE)</f>
        <v>0942</v>
      </c>
    </row>
    <row r="739" spans="30:33" hidden="1">
      <c r="AD739" t="s">
        <v>2762</v>
      </c>
      <c r="AE739" t="s">
        <v>2763</v>
      </c>
      <c r="AF739" t="str">
        <f t="shared" si="78"/>
        <v>A679078</v>
      </c>
      <c r="AG739" t="str">
        <f>VLOOKUP(AF739,AKT!$C$4:$E$324,3,FALSE)</f>
        <v>0942</v>
      </c>
    </row>
    <row r="740" spans="30:33" hidden="1">
      <c r="AD740" t="s">
        <v>2764</v>
      </c>
      <c r="AE740" t="s">
        <v>2765</v>
      </c>
      <c r="AF740" t="str">
        <f t="shared" si="78"/>
        <v>A679078</v>
      </c>
      <c r="AG740" t="str">
        <f>VLOOKUP(AF740,AKT!$C$4:$E$324,3,FALSE)</f>
        <v>0942</v>
      </c>
    </row>
    <row r="741" spans="30:33" hidden="1">
      <c r="AD741" t="s">
        <v>2766</v>
      </c>
      <c r="AE741" t="s">
        <v>2767</v>
      </c>
      <c r="AF741" t="str">
        <f t="shared" si="78"/>
        <v>A679078</v>
      </c>
      <c r="AG741" t="str">
        <f>VLOOKUP(AF741,AKT!$C$4:$E$324,3,FALSE)</f>
        <v>0942</v>
      </c>
    </row>
    <row r="742" spans="30:33" hidden="1">
      <c r="AD742" t="s">
        <v>2768</v>
      </c>
      <c r="AE742" t="s">
        <v>2769</v>
      </c>
      <c r="AF742" t="str">
        <f t="shared" si="78"/>
        <v>A679078</v>
      </c>
      <c r="AG742" t="str">
        <f>VLOOKUP(AF742,AKT!$C$4:$E$324,3,FALSE)</f>
        <v>0942</v>
      </c>
    </row>
    <row r="743" spans="30:33" hidden="1">
      <c r="AD743" t="s">
        <v>2770</v>
      </c>
      <c r="AE743" t="s">
        <v>2771</v>
      </c>
      <c r="AF743" t="str">
        <f t="shared" si="78"/>
        <v>A679078</v>
      </c>
      <c r="AG743" t="str">
        <f>VLOOKUP(AF743,AKT!$C$4:$E$324,3,FALSE)</f>
        <v>0942</v>
      </c>
    </row>
    <row r="744" spans="30:33" hidden="1">
      <c r="AD744" t="s">
        <v>2772</v>
      </c>
      <c r="AE744" t="s">
        <v>2773</v>
      </c>
      <c r="AF744" t="str">
        <f t="shared" si="78"/>
        <v>A679078</v>
      </c>
      <c r="AG744" t="str">
        <f>VLOOKUP(AF744,AKT!$C$4:$E$324,3,FALSE)</f>
        <v>0942</v>
      </c>
    </row>
    <row r="745" spans="30:33" hidden="1">
      <c r="AD745" t="s">
        <v>2774</v>
      </c>
      <c r="AE745" t="s">
        <v>2775</v>
      </c>
      <c r="AF745" t="str">
        <f t="shared" si="78"/>
        <v>A679078</v>
      </c>
      <c r="AG745" t="str">
        <f>VLOOKUP(AF745,AKT!$C$4:$E$324,3,FALSE)</f>
        <v>0942</v>
      </c>
    </row>
    <row r="746" spans="30:33" hidden="1">
      <c r="AD746" t="s">
        <v>2776</v>
      </c>
      <c r="AE746" t="s">
        <v>2777</v>
      </c>
      <c r="AF746" t="str">
        <f t="shared" si="78"/>
        <v>A679078</v>
      </c>
      <c r="AG746" t="str">
        <f>VLOOKUP(AF746,AKT!$C$4:$E$324,3,FALSE)</f>
        <v>0942</v>
      </c>
    </row>
    <row r="747" spans="30:33" hidden="1">
      <c r="AD747" t="s">
        <v>2778</v>
      </c>
      <c r="AE747" t="s">
        <v>2779</v>
      </c>
      <c r="AF747" t="str">
        <f t="shared" si="78"/>
        <v>A679078</v>
      </c>
      <c r="AG747" t="str">
        <f>VLOOKUP(AF747,AKT!$C$4:$E$324,3,FALSE)</f>
        <v>0942</v>
      </c>
    </row>
    <row r="748" spans="30:33" hidden="1">
      <c r="AD748" t="s">
        <v>2780</v>
      </c>
      <c r="AE748" t="s">
        <v>2781</v>
      </c>
      <c r="AF748" t="str">
        <f t="shared" si="78"/>
        <v>A679078</v>
      </c>
      <c r="AG748" t="str">
        <f>VLOOKUP(AF748,AKT!$C$4:$E$324,3,FALSE)</f>
        <v>0942</v>
      </c>
    </row>
    <row r="749" spans="30:33" hidden="1">
      <c r="AD749" t="s">
        <v>2782</v>
      </c>
      <c r="AE749" t="s">
        <v>2783</v>
      </c>
      <c r="AF749" t="str">
        <f t="shared" si="78"/>
        <v>A679078</v>
      </c>
      <c r="AG749" t="str">
        <f>VLOOKUP(AF749,AKT!$C$4:$E$324,3,FALSE)</f>
        <v>0942</v>
      </c>
    </row>
    <row r="750" spans="30:33" hidden="1">
      <c r="AD750" t="s">
        <v>2784</v>
      </c>
      <c r="AE750" t="s">
        <v>2785</v>
      </c>
      <c r="AF750" t="str">
        <f t="shared" si="78"/>
        <v>A679078</v>
      </c>
      <c r="AG750" t="str">
        <f>VLOOKUP(AF750,AKT!$C$4:$E$324,3,FALSE)</f>
        <v>0942</v>
      </c>
    </row>
    <row r="751" spans="30:33" hidden="1">
      <c r="AD751" t="s">
        <v>2786</v>
      </c>
      <c r="AE751" t="s">
        <v>2787</v>
      </c>
      <c r="AF751" t="str">
        <f t="shared" si="78"/>
        <v>A679078</v>
      </c>
      <c r="AG751" t="str">
        <f>VLOOKUP(AF751,AKT!$C$4:$E$324,3,FALSE)</f>
        <v>0942</v>
      </c>
    </row>
    <row r="752" spans="30:33" hidden="1">
      <c r="AD752" t="s">
        <v>2788</v>
      </c>
      <c r="AE752" t="s">
        <v>2789</v>
      </c>
      <c r="AF752" t="str">
        <f t="shared" si="78"/>
        <v>A679078</v>
      </c>
      <c r="AG752" t="str">
        <f>VLOOKUP(AF752,AKT!$C$4:$E$324,3,FALSE)</f>
        <v>0942</v>
      </c>
    </row>
    <row r="753" spans="30:33" hidden="1">
      <c r="AD753" t="s">
        <v>2790</v>
      </c>
      <c r="AE753" t="s">
        <v>2791</v>
      </c>
      <c r="AF753" t="str">
        <f t="shared" si="78"/>
        <v>A679078</v>
      </c>
      <c r="AG753" t="str">
        <f>VLOOKUP(AF753,AKT!$C$4:$E$324,3,FALSE)</f>
        <v>0942</v>
      </c>
    </row>
    <row r="754" spans="30:33" hidden="1">
      <c r="AD754" t="s">
        <v>2792</v>
      </c>
      <c r="AE754" t="s">
        <v>2793</v>
      </c>
      <c r="AF754" t="str">
        <f t="shared" si="78"/>
        <v>A679078</v>
      </c>
      <c r="AG754" t="str">
        <f>VLOOKUP(AF754,AKT!$C$4:$E$324,3,FALSE)</f>
        <v>0942</v>
      </c>
    </row>
    <row r="755" spans="30:33" hidden="1">
      <c r="AD755" t="s">
        <v>2794</v>
      </c>
      <c r="AE755" t="s">
        <v>2795</v>
      </c>
      <c r="AF755" t="str">
        <f t="shared" si="78"/>
        <v>A679078</v>
      </c>
      <c r="AG755" t="str">
        <f>VLOOKUP(AF755,AKT!$C$4:$E$324,3,FALSE)</f>
        <v>0942</v>
      </c>
    </row>
    <row r="756" spans="30:33" hidden="1">
      <c r="AD756" t="s">
        <v>2796</v>
      </c>
      <c r="AE756" t="s">
        <v>2797</v>
      </c>
      <c r="AF756" t="str">
        <f t="shared" si="78"/>
        <v>A679078</v>
      </c>
      <c r="AG756" t="str">
        <f>VLOOKUP(AF756,AKT!$C$4:$E$324,3,FALSE)</f>
        <v>0942</v>
      </c>
    </row>
    <row r="757" spans="30:33" hidden="1">
      <c r="AD757" t="s">
        <v>2798</v>
      </c>
      <c r="AE757" t="s">
        <v>2799</v>
      </c>
      <c r="AF757" t="str">
        <f t="shared" si="78"/>
        <v>A679078</v>
      </c>
      <c r="AG757" t="str">
        <f>VLOOKUP(AF757,AKT!$C$4:$E$324,3,FALSE)</f>
        <v>0942</v>
      </c>
    </row>
    <row r="758" spans="30:33" hidden="1">
      <c r="AD758" t="s">
        <v>2800</v>
      </c>
      <c r="AE758" t="s">
        <v>2801</v>
      </c>
      <c r="AF758" t="str">
        <f t="shared" si="78"/>
        <v>A679078</v>
      </c>
      <c r="AG758" t="str">
        <f>VLOOKUP(AF758,AKT!$C$4:$E$324,3,FALSE)</f>
        <v>0942</v>
      </c>
    </row>
    <row r="759" spans="30:33" hidden="1">
      <c r="AD759" t="s">
        <v>2802</v>
      </c>
      <c r="AE759" t="s">
        <v>2803</v>
      </c>
      <c r="AF759" t="str">
        <f t="shared" si="78"/>
        <v>A679078</v>
      </c>
      <c r="AG759" t="str">
        <f>VLOOKUP(AF759,AKT!$C$4:$E$324,3,FALSE)</f>
        <v>0942</v>
      </c>
    </row>
    <row r="760" spans="30:33" hidden="1">
      <c r="AD760" t="s">
        <v>2804</v>
      </c>
      <c r="AE760" t="s">
        <v>2805</v>
      </c>
      <c r="AF760" t="str">
        <f t="shared" si="78"/>
        <v>A679078</v>
      </c>
      <c r="AG760" t="str">
        <f>VLOOKUP(AF760,AKT!$C$4:$E$324,3,FALSE)</f>
        <v>0942</v>
      </c>
    </row>
    <row r="761" spans="30:33" hidden="1">
      <c r="AD761" t="s">
        <v>2806</v>
      </c>
      <c r="AE761" t="s">
        <v>2807</v>
      </c>
      <c r="AF761" t="str">
        <f t="shared" si="78"/>
        <v>A679078</v>
      </c>
      <c r="AG761" t="str">
        <f>VLOOKUP(AF761,AKT!$C$4:$E$324,3,FALSE)</f>
        <v>0942</v>
      </c>
    </row>
    <row r="762" spans="30:33" hidden="1">
      <c r="AD762" t="s">
        <v>2808</v>
      </c>
      <c r="AE762" t="s">
        <v>2809</v>
      </c>
      <c r="AF762" t="str">
        <f t="shared" si="78"/>
        <v>A679078</v>
      </c>
      <c r="AG762" t="str">
        <f>VLOOKUP(AF762,AKT!$C$4:$E$324,3,FALSE)</f>
        <v>0942</v>
      </c>
    </row>
    <row r="763" spans="30:33" hidden="1">
      <c r="AD763" t="s">
        <v>2810</v>
      </c>
      <c r="AE763" t="s">
        <v>2811</v>
      </c>
      <c r="AF763" t="str">
        <f t="shared" si="78"/>
        <v>A679078</v>
      </c>
      <c r="AG763" t="str">
        <f>VLOOKUP(AF763,AKT!$C$4:$E$324,3,FALSE)</f>
        <v>0942</v>
      </c>
    </row>
    <row r="764" spans="30:33" hidden="1">
      <c r="AD764" t="s">
        <v>2812</v>
      </c>
      <c r="AE764" t="s">
        <v>2813</v>
      </c>
      <c r="AF764" t="str">
        <f t="shared" si="78"/>
        <v>A679078</v>
      </c>
      <c r="AG764" t="str">
        <f>VLOOKUP(AF764,AKT!$C$4:$E$324,3,FALSE)</f>
        <v>0942</v>
      </c>
    </row>
    <row r="765" spans="30:33" hidden="1">
      <c r="AD765" t="s">
        <v>2814</v>
      </c>
      <c r="AE765" t="s">
        <v>2815</v>
      </c>
      <c r="AF765" t="str">
        <f t="shared" si="78"/>
        <v>A679078</v>
      </c>
      <c r="AG765" t="str">
        <f>VLOOKUP(AF765,AKT!$C$4:$E$324,3,FALSE)</f>
        <v>0942</v>
      </c>
    </row>
    <row r="766" spans="30:33" hidden="1">
      <c r="AD766" t="s">
        <v>2816</v>
      </c>
      <c r="AE766" t="s">
        <v>2817</v>
      </c>
      <c r="AF766" t="str">
        <f t="shared" si="78"/>
        <v>A679078</v>
      </c>
      <c r="AG766" t="str">
        <f>VLOOKUP(AF766,AKT!$C$4:$E$324,3,FALSE)</f>
        <v>0942</v>
      </c>
    </row>
    <row r="767" spans="30:33" hidden="1">
      <c r="AD767" t="s">
        <v>2818</v>
      </c>
      <c r="AE767" t="s">
        <v>2819</v>
      </c>
      <c r="AF767" t="str">
        <f t="shared" si="78"/>
        <v>A679078</v>
      </c>
      <c r="AG767" t="str">
        <f>VLOOKUP(AF767,AKT!$C$4:$E$324,3,FALSE)</f>
        <v>0942</v>
      </c>
    </row>
    <row r="768" spans="30:33" hidden="1">
      <c r="AD768" t="s">
        <v>2820</v>
      </c>
      <c r="AE768" t="s">
        <v>2821</v>
      </c>
      <c r="AF768" t="str">
        <f t="shared" si="78"/>
        <v>A679078</v>
      </c>
      <c r="AG768" t="str">
        <f>VLOOKUP(AF768,AKT!$C$4:$E$324,3,FALSE)</f>
        <v>0942</v>
      </c>
    </row>
    <row r="769" spans="30:33" hidden="1">
      <c r="AD769" t="s">
        <v>2822</v>
      </c>
      <c r="AE769" t="s">
        <v>2823</v>
      </c>
      <c r="AF769" t="str">
        <f t="shared" si="78"/>
        <v>A679078</v>
      </c>
      <c r="AG769" t="str">
        <f>VLOOKUP(AF769,AKT!$C$4:$E$324,3,FALSE)</f>
        <v>0942</v>
      </c>
    </row>
    <row r="770" spans="30:33" hidden="1">
      <c r="AD770" t="s">
        <v>2824</v>
      </c>
      <c r="AE770" t="s">
        <v>2825</v>
      </c>
      <c r="AF770" t="str">
        <f t="shared" si="78"/>
        <v>A679078</v>
      </c>
      <c r="AG770" t="str">
        <f>VLOOKUP(AF770,AKT!$C$4:$E$324,3,FALSE)</f>
        <v>0942</v>
      </c>
    </row>
    <row r="771" spans="30:33" hidden="1">
      <c r="AD771" t="s">
        <v>2826</v>
      </c>
      <c r="AE771" t="s">
        <v>2827</v>
      </c>
      <c r="AF771" t="str">
        <f t="shared" si="78"/>
        <v>A679078</v>
      </c>
      <c r="AG771" t="str">
        <f>VLOOKUP(AF771,AKT!$C$4:$E$324,3,FALSE)</f>
        <v>0942</v>
      </c>
    </row>
    <row r="772" spans="30:33" hidden="1">
      <c r="AD772" t="s">
        <v>2828</v>
      </c>
      <c r="AE772" t="s">
        <v>2771</v>
      </c>
      <c r="AF772" t="str">
        <f t="shared" si="78"/>
        <v>A679078</v>
      </c>
      <c r="AG772" t="str">
        <f>VLOOKUP(AF772,AKT!$C$4:$E$324,3,FALSE)</f>
        <v>0942</v>
      </c>
    </row>
    <row r="773" spans="30:33" hidden="1">
      <c r="AD773" t="s">
        <v>2829</v>
      </c>
      <c r="AE773" t="s">
        <v>2777</v>
      </c>
      <c r="AF773" t="str">
        <f t="shared" si="78"/>
        <v>A679078</v>
      </c>
      <c r="AG773" t="str">
        <f>VLOOKUP(AF773,AKT!$C$4:$E$324,3,FALSE)</f>
        <v>0942</v>
      </c>
    </row>
    <row r="774" spans="30:33" hidden="1">
      <c r="AD774" t="s">
        <v>2830</v>
      </c>
      <c r="AE774" t="s">
        <v>2831</v>
      </c>
      <c r="AF774" t="str">
        <f t="shared" si="78"/>
        <v>A679078</v>
      </c>
      <c r="AG774" t="str">
        <f>VLOOKUP(AF774,AKT!$C$4:$E$324,3,FALSE)</f>
        <v>0942</v>
      </c>
    </row>
    <row r="775" spans="30:33" hidden="1">
      <c r="AD775" t="s">
        <v>2832</v>
      </c>
      <c r="AE775" t="s">
        <v>2833</v>
      </c>
      <c r="AF775" t="str">
        <f t="shared" si="78"/>
        <v>A679078</v>
      </c>
      <c r="AG775" t="str">
        <f>VLOOKUP(AF775,AKT!$C$4:$E$324,3,FALSE)</f>
        <v>0942</v>
      </c>
    </row>
    <row r="776" spans="30:33" hidden="1">
      <c r="AD776" t="s">
        <v>2834</v>
      </c>
      <c r="AE776" t="s">
        <v>2835</v>
      </c>
      <c r="AF776" t="str">
        <f t="shared" ref="AF776:AF839" si="79">LEFT(AD776,7)</f>
        <v>A679078</v>
      </c>
      <c r="AG776" t="str">
        <f>VLOOKUP(AF776,AKT!$C$4:$E$324,3,FALSE)</f>
        <v>0942</v>
      </c>
    </row>
    <row r="777" spans="30:33" hidden="1">
      <c r="AD777" t="s">
        <v>2836</v>
      </c>
      <c r="AE777" t="s">
        <v>2837</v>
      </c>
      <c r="AF777" t="str">
        <f t="shared" si="79"/>
        <v>A679078</v>
      </c>
      <c r="AG777" t="str">
        <f>VLOOKUP(AF777,AKT!$C$4:$E$324,3,FALSE)</f>
        <v>0942</v>
      </c>
    </row>
    <row r="778" spans="30:33" hidden="1">
      <c r="AD778" t="s">
        <v>2838</v>
      </c>
      <c r="AE778" t="s">
        <v>3203</v>
      </c>
      <c r="AF778" t="str">
        <f t="shared" si="79"/>
        <v>A679078</v>
      </c>
      <c r="AG778" t="str">
        <f>VLOOKUP(AF778,AKT!$C$4:$E$324,3,FALSE)</f>
        <v>0942</v>
      </c>
    </row>
    <row r="779" spans="30:33" hidden="1">
      <c r="AD779" t="s">
        <v>2839</v>
      </c>
      <c r="AE779" t="s">
        <v>2840</v>
      </c>
      <c r="AF779" t="str">
        <f t="shared" si="79"/>
        <v>A679078</v>
      </c>
      <c r="AG779" t="str">
        <f>VLOOKUP(AF779,AKT!$C$4:$E$324,3,FALSE)</f>
        <v>0942</v>
      </c>
    </row>
    <row r="780" spans="30:33" hidden="1">
      <c r="AD780" t="s">
        <v>2841</v>
      </c>
      <c r="AE780" t="s">
        <v>2842</v>
      </c>
      <c r="AF780" t="str">
        <f t="shared" si="79"/>
        <v>A679078</v>
      </c>
      <c r="AG780" t="str">
        <f>VLOOKUP(AF780,AKT!$C$4:$E$324,3,FALSE)</f>
        <v>0942</v>
      </c>
    </row>
    <row r="781" spans="30:33" hidden="1">
      <c r="AD781" t="s">
        <v>2843</v>
      </c>
      <c r="AE781" t="s">
        <v>2844</v>
      </c>
      <c r="AF781" t="str">
        <f t="shared" si="79"/>
        <v>A679078</v>
      </c>
      <c r="AG781" t="str">
        <f>VLOOKUP(AF781,AKT!$C$4:$E$324,3,FALSE)</f>
        <v>0942</v>
      </c>
    </row>
    <row r="782" spans="30:33" hidden="1">
      <c r="AD782" t="s">
        <v>2845</v>
      </c>
      <c r="AE782" t="s">
        <v>2846</v>
      </c>
      <c r="AF782" t="str">
        <f t="shared" si="79"/>
        <v>A679078</v>
      </c>
      <c r="AG782" t="str">
        <f>VLOOKUP(AF782,AKT!$C$4:$E$324,3,FALSE)</f>
        <v>0942</v>
      </c>
    </row>
    <row r="783" spans="30:33" hidden="1">
      <c r="AD783" t="s">
        <v>2847</v>
      </c>
      <c r="AE783" t="s">
        <v>2848</v>
      </c>
      <c r="AF783" t="str">
        <f t="shared" si="79"/>
        <v>A679078</v>
      </c>
      <c r="AG783" t="str">
        <f>VLOOKUP(AF783,AKT!$C$4:$E$324,3,FALSE)</f>
        <v>0942</v>
      </c>
    </row>
    <row r="784" spans="30:33" hidden="1">
      <c r="AD784" t="s">
        <v>2849</v>
      </c>
      <c r="AE784" t="s">
        <v>2850</v>
      </c>
      <c r="AF784" t="str">
        <f t="shared" si="79"/>
        <v>A679078</v>
      </c>
      <c r="AG784" t="str">
        <f>VLOOKUP(AF784,AKT!$C$4:$E$324,3,FALSE)</f>
        <v>0942</v>
      </c>
    </row>
    <row r="785" spans="30:33" hidden="1">
      <c r="AD785" t="s">
        <v>2851</v>
      </c>
      <c r="AE785" t="s">
        <v>2852</v>
      </c>
      <c r="AF785" t="str">
        <f t="shared" si="79"/>
        <v>A679078</v>
      </c>
      <c r="AG785" t="str">
        <f>VLOOKUP(AF785,AKT!$C$4:$E$324,3,FALSE)</f>
        <v>0942</v>
      </c>
    </row>
    <row r="786" spans="30:33" hidden="1">
      <c r="AD786" t="s">
        <v>2853</v>
      </c>
      <c r="AE786" t="s">
        <v>2854</v>
      </c>
      <c r="AF786" t="str">
        <f t="shared" si="79"/>
        <v>A679078</v>
      </c>
      <c r="AG786" t="str">
        <f>VLOOKUP(AF786,AKT!$C$4:$E$324,3,FALSE)</f>
        <v>0942</v>
      </c>
    </row>
    <row r="787" spans="30:33" hidden="1">
      <c r="AD787" t="s">
        <v>2855</v>
      </c>
      <c r="AE787" t="s">
        <v>2856</v>
      </c>
      <c r="AF787" t="str">
        <f t="shared" si="79"/>
        <v>A679078</v>
      </c>
      <c r="AG787" t="str">
        <f>VLOOKUP(AF787,AKT!$C$4:$E$324,3,FALSE)</f>
        <v>0942</v>
      </c>
    </row>
    <row r="788" spans="30:33" hidden="1">
      <c r="AD788" t="s">
        <v>2857</v>
      </c>
      <c r="AE788" t="s">
        <v>2858</v>
      </c>
      <c r="AF788" t="str">
        <f t="shared" si="79"/>
        <v>A679078</v>
      </c>
      <c r="AG788" t="str">
        <f>VLOOKUP(AF788,AKT!$C$4:$E$324,3,FALSE)</f>
        <v>0942</v>
      </c>
    </row>
    <row r="789" spans="30:33" hidden="1">
      <c r="AD789" t="s">
        <v>2859</v>
      </c>
      <c r="AE789" t="s">
        <v>2860</v>
      </c>
      <c r="AF789" t="str">
        <f t="shared" si="79"/>
        <v>A679078</v>
      </c>
      <c r="AG789" t="str">
        <f>VLOOKUP(AF789,AKT!$C$4:$E$324,3,FALSE)</f>
        <v>0942</v>
      </c>
    </row>
    <row r="790" spans="30:33" hidden="1">
      <c r="AD790" t="s">
        <v>2861</v>
      </c>
      <c r="AE790" t="s">
        <v>2862</v>
      </c>
      <c r="AF790" t="str">
        <f t="shared" si="79"/>
        <v>A679078</v>
      </c>
      <c r="AG790" t="str">
        <f>VLOOKUP(AF790,AKT!$C$4:$E$324,3,FALSE)</f>
        <v>0942</v>
      </c>
    </row>
    <row r="791" spans="30:33" hidden="1">
      <c r="AD791" t="s">
        <v>2863</v>
      </c>
      <c r="AE791" t="s">
        <v>2864</v>
      </c>
      <c r="AF791" t="str">
        <f t="shared" si="79"/>
        <v>A679078</v>
      </c>
      <c r="AG791" t="str">
        <f>VLOOKUP(AF791,AKT!$C$4:$E$324,3,FALSE)</f>
        <v>0942</v>
      </c>
    </row>
    <row r="792" spans="30:33" hidden="1">
      <c r="AD792" t="s">
        <v>2865</v>
      </c>
      <c r="AE792" t="s">
        <v>2866</v>
      </c>
      <c r="AF792" t="str">
        <f t="shared" si="79"/>
        <v>A679078</v>
      </c>
      <c r="AG792" t="str">
        <f>VLOOKUP(AF792,AKT!$C$4:$E$324,3,FALSE)</f>
        <v>0942</v>
      </c>
    </row>
    <row r="793" spans="30:33" hidden="1">
      <c r="AD793" t="s">
        <v>2867</v>
      </c>
      <c r="AE793" t="s">
        <v>2868</v>
      </c>
      <c r="AF793" t="str">
        <f t="shared" si="79"/>
        <v>A679078</v>
      </c>
      <c r="AG793" t="str">
        <f>VLOOKUP(AF793,AKT!$C$4:$E$324,3,FALSE)</f>
        <v>0942</v>
      </c>
    </row>
    <row r="794" spans="30:33" hidden="1">
      <c r="AD794" t="s">
        <v>2869</v>
      </c>
      <c r="AE794" t="s">
        <v>2870</v>
      </c>
      <c r="AF794" t="str">
        <f t="shared" si="79"/>
        <v>A679078</v>
      </c>
      <c r="AG794" t="str">
        <f>VLOOKUP(AF794,AKT!$C$4:$E$324,3,FALSE)</f>
        <v>0942</v>
      </c>
    </row>
    <row r="795" spans="30:33" hidden="1">
      <c r="AD795" t="s">
        <v>2871</v>
      </c>
      <c r="AE795" t="s">
        <v>2872</v>
      </c>
      <c r="AF795" t="str">
        <f t="shared" si="79"/>
        <v>A679078</v>
      </c>
      <c r="AG795" t="str">
        <f>VLOOKUP(AF795,AKT!$C$4:$E$324,3,FALSE)</f>
        <v>0942</v>
      </c>
    </row>
    <row r="796" spans="30:33" hidden="1">
      <c r="AD796" t="s">
        <v>2873</v>
      </c>
      <c r="AE796" t="s">
        <v>2874</v>
      </c>
      <c r="AF796" t="str">
        <f t="shared" si="79"/>
        <v>A679078</v>
      </c>
      <c r="AG796" t="str">
        <f>VLOOKUP(AF796,AKT!$C$4:$E$324,3,FALSE)</f>
        <v>0942</v>
      </c>
    </row>
    <row r="797" spans="30:33" hidden="1">
      <c r="AD797" t="s">
        <v>2875</v>
      </c>
      <c r="AE797" t="s">
        <v>2876</v>
      </c>
      <c r="AF797" t="str">
        <f t="shared" si="79"/>
        <v>A679078</v>
      </c>
      <c r="AG797" t="str">
        <f>VLOOKUP(AF797,AKT!$C$4:$E$324,3,FALSE)</f>
        <v>0942</v>
      </c>
    </row>
    <row r="798" spans="30:33" hidden="1">
      <c r="AD798" t="s">
        <v>2877</v>
      </c>
      <c r="AE798" t="s">
        <v>2878</v>
      </c>
      <c r="AF798" t="str">
        <f t="shared" si="79"/>
        <v>A679078</v>
      </c>
      <c r="AG798" t="str">
        <f>VLOOKUP(AF798,AKT!$C$4:$E$324,3,FALSE)</f>
        <v>0942</v>
      </c>
    </row>
    <row r="799" spans="30:33" hidden="1">
      <c r="AD799" t="s">
        <v>2879</v>
      </c>
      <c r="AE799" t="s">
        <v>2880</v>
      </c>
      <c r="AF799" t="str">
        <f t="shared" si="79"/>
        <v>A679078</v>
      </c>
      <c r="AG799" t="str">
        <f>VLOOKUP(AF799,AKT!$C$4:$E$324,3,FALSE)</f>
        <v>0942</v>
      </c>
    </row>
    <row r="800" spans="30:33" hidden="1">
      <c r="AD800" t="s">
        <v>2881</v>
      </c>
      <c r="AE800" t="s">
        <v>2882</v>
      </c>
      <c r="AF800" t="str">
        <f t="shared" si="79"/>
        <v>A679078</v>
      </c>
      <c r="AG800" t="str">
        <f>VLOOKUP(AF800,AKT!$C$4:$E$324,3,FALSE)</f>
        <v>0942</v>
      </c>
    </row>
    <row r="801" spans="30:33" hidden="1">
      <c r="AD801" t="s">
        <v>2883</v>
      </c>
      <c r="AE801" t="s">
        <v>2884</v>
      </c>
      <c r="AF801" t="str">
        <f t="shared" si="79"/>
        <v>A679078</v>
      </c>
      <c r="AG801" t="str">
        <f>VLOOKUP(AF801,AKT!$C$4:$E$324,3,FALSE)</f>
        <v>0942</v>
      </c>
    </row>
    <row r="802" spans="30:33" hidden="1">
      <c r="AD802" t="s">
        <v>2885</v>
      </c>
      <c r="AE802" t="s">
        <v>2886</v>
      </c>
      <c r="AF802" t="str">
        <f t="shared" si="79"/>
        <v>A679078</v>
      </c>
      <c r="AG802" t="str">
        <f>VLOOKUP(AF802,AKT!$C$4:$E$324,3,FALSE)</f>
        <v>0942</v>
      </c>
    </row>
    <row r="803" spans="30:33" hidden="1">
      <c r="AD803" t="s">
        <v>2887</v>
      </c>
      <c r="AE803" t="s">
        <v>2888</v>
      </c>
      <c r="AF803" t="str">
        <f t="shared" si="79"/>
        <v>A679078</v>
      </c>
      <c r="AG803" t="str">
        <f>VLOOKUP(AF803,AKT!$C$4:$E$324,3,FALSE)</f>
        <v>0942</v>
      </c>
    </row>
    <row r="804" spans="30:33" hidden="1">
      <c r="AD804" t="s">
        <v>2889</v>
      </c>
      <c r="AE804" t="s">
        <v>2890</v>
      </c>
      <c r="AF804" t="str">
        <f t="shared" si="79"/>
        <v>A679078</v>
      </c>
      <c r="AG804" t="str">
        <f>VLOOKUP(AF804,AKT!$C$4:$E$324,3,FALSE)</f>
        <v>0942</v>
      </c>
    </row>
    <row r="805" spans="30:33" hidden="1">
      <c r="AD805" t="s">
        <v>2891</v>
      </c>
      <c r="AE805" t="s">
        <v>2892</v>
      </c>
      <c r="AF805" t="str">
        <f t="shared" si="79"/>
        <v>A679078</v>
      </c>
      <c r="AG805" t="str">
        <f>VLOOKUP(AF805,AKT!$C$4:$E$324,3,FALSE)</f>
        <v>0942</v>
      </c>
    </row>
    <row r="806" spans="30:33" hidden="1">
      <c r="AD806" t="s">
        <v>2893</v>
      </c>
      <c r="AE806" t="s">
        <v>2894</v>
      </c>
      <c r="AF806" t="str">
        <f t="shared" si="79"/>
        <v>A679078</v>
      </c>
      <c r="AG806" t="str">
        <f>VLOOKUP(AF806,AKT!$C$4:$E$324,3,FALSE)</f>
        <v>0942</v>
      </c>
    </row>
    <row r="807" spans="30:33" hidden="1">
      <c r="AD807" t="s">
        <v>2895</v>
      </c>
      <c r="AE807" t="s">
        <v>2652</v>
      </c>
      <c r="AF807" t="str">
        <f t="shared" si="79"/>
        <v>A679078</v>
      </c>
      <c r="AG807" t="str">
        <f>VLOOKUP(AF807,AKT!$C$4:$E$324,3,FALSE)</f>
        <v>0942</v>
      </c>
    </row>
    <row r="808" spans="30:33" hidden="1">
      <c r="AD808" t="s">
        <v>2896</v>
      </c>
      <c r="AE808" t="s">
        <v>2897</v>
      </c>
      <c r="AF808" t="str">
        <f t="shared" si="79"/>
        <v>A679078</v>
      </c>
      <c r="AG808" t="str">
        <f>VLOOKUP(AF808,AKT!$C$4:$E$324,3,FALSE)</f>
        <v>0942</v>
      </c>
    </row>
    <row r="809" spans="30:33" hidden="1">
      <c r="AD809" t="s">
        <v>2898</v>
      </c>
      <c r="AE809" t="s">
        <v>2899</v>
      </c>
      <c r="AF809" t="str">
        <f t="shared" si="79"/>
        <v>A679078</v>
      </c>
      <c r="AG809" t="str">
        <f>VLOOKUP(AF809,AKT!$C$4:$E$324,3,FALSE)</f>
        <v>0942</v>
      </c>
    </row>
    <row r="810" spans="30:33" hidden="1">
      <c r="AD810" t="s">
        <v>2900</v>
      </c>
      <c r="AE810" t="s">
        <v>2901</v>
      </c>
      <c r="AF810" t="str">
        <f t="shared" si="79"/>
        <v>A679078</v>
      </c>
      <c r="AG810" t="str">
        <f>VLOOKUP(AF810,AKT!$C$4:$E$324,3,FALSE)</f>
        <v>0942</v>
      </c>
    </row>
    <row r="811" spans="30:33" hidden="1">
      <c r="AD811" t="s">
        <v>2902</v>
      </c>
      <c r="AE811" t="s">
        <v>2903</v>
      </c>
      <c r="AF811" t="str">
        <f t="shared" si="79"/>
        <v>A679078</v>
      </c>
      <c r="AG811" t="str">
        <f>VLOOKUP(AF811,AKT!$C$4:$E$324,3,FALSE)</f>
        <v>0942</v>
      </c>
    </row>
    <row r="812" spans="30:33" hidden="1">
      <c r="AD812" t="s">
        <v>2904</v>
      </c>
      <c r="AE812" t="s">
        <v>2905</v>
      </c>
      <c r="AF812" t="str">
        <f t="shared" si="79"/>
        <v>A679078</v>
      </c>
      <c r="AG812" t="str">
        <f>VLOOKUP(AF812,AKT!$C$4:$E$324,3,FALSE)</f>
        <v>0942</v>
      </c>
    </row>
    <row r="813" spans="30:33" hidden="1">
      <c r="AD813" t="s">
        <v>2906</v>
      </c>
      <c r="AE813" t="s">
        <v>2907</v>
      </c>
      <c r="AF813" t="str">
        <f t="shared" si="79"/>
        <v>A679078</v>
      </c>
      <c r="AG813" t="str">
        <f>VLOOKUP(AF813,AKT!$C$4:$E$324,3,FALSE)</f>
        <v>0942</v>
      </c>
    </row>
    <row r="814" spans="30:33" hidden="1">
      <c r="AD814" t="s">
        <v>2908</v>
      </c>
      <c r="AE814" t="s">
        <v>2909</v>
      </c>
      <c r="AF814" t="str">
        <f t="shared" si="79"/>
        <v>A679078</v>
      </c>
      <c r="AG814" t="str">
        <f>VLOOKUP(AF814,AKT!$C$4:$E$324,3,FALSE)</f>
        <v>0942</v>
      </c>
    </row>
    <row r="815" spans="30:33" hidden="1">
      <c r="AD815" t="s">
        <v>2910</v>
      </c>
      <c r="AE815" t="s">
        <v>2911</v>
      </c>
      <c r="AF815" t="str">
        <f t="shared" si="79"/>
        <v>A679078</v>
      </c>
      <c r="AG815" t="str">
        <f>VLOOKUP(AF815,AKT!$C$4:$E$324,3,FALSE)</f>
        <v>0942</v>
      </c>
    </row>
    <row r="816" spans="30:33" hidden="1">
      <c r="AD816" t="s">
        <v>3204</v>
      </c>
      <c r="AE816" t="s">
        <v>3205</v>
      </c>
      <c r="AF816" t="str">
        <f t="shared" si="79"/>
        <v>A679078</v>
      </c>
      <c r="AG816" t="str">
        <f>VLOOKUP(AF816,AKT!$C$4:$E$324,3,FALSE)</f>
        <v>0942</v>
      </c>
    </row>
    <row r="817" spans="30:33" hidden="1">
      <c r="AD817" t="s">
        <v>2912</v>
      </c>
      <c r="AE817" t="s">
        <v>2913</v>
      </c>
      <c r="AF817" t="str">
        <f t="shared" si="79"/>
        <v>A679078</v>
      </c>
      <c r="AG817" t="str">
        <f>VLOOKUP(AF817,AKT!$C$4:$E$324,3,FALSE)</f>
        <v>0942</v>
      </c>
    </row>
    <row r="818" spans="30:33" hidden="1">
      <c r="AD818" t="s">
        <v>2914</v>
      </c>
      <c r="AE818" t="s">
        <v>2915</v>
      </c>
      <c r="AF818" t="str">
        <f t="shared" si="79"/>
        <v>A679078</v>
      </c>
      <c r="AG818" t="str">
        <f>VLOOKUP(AF818,AKT!$C$4:$E$324,3,FALSE)</f>
        <v>0942</v>
      </c>
    </row>
    <row r="819" spans="30:33" hidden="1">
      <c r="AD819" t="s">
        <v>2916</v>
      </c>
      <c r="AE819" t="s">
        <v>2917</v>
      </c>
      <c r="AF819" t="str">
        <f t="shared" si="79"/>
        <v>A679078</v>
      </c>
      <c r="AG819" t="str">
        <f>VLOOKUP(AF819,AKT!$C$4:$E$324,3,FALSE)</f>
        <v>0942</v>
      </c>
    </row>
    <row r="820" spans="30:33" hidden="1">
      <c r="AD820" t="s">
        <v>3206</v>
      </c>
      <c r="AE820" t="s">
        <v>3207</v>
      </c>
      <c r="AF820" t="str">
        <f t="shared" si="79"/>
        <v>A679078</v>
      </c>
      <c r="AG820" t="str">
        <f>VLOOKUP(AF820,AKT!$C$4:$E$324,3,FALSE)</f>
        <v>0942</v>
      </c>
    </row>
    <row r="821" spans="30:33" hidden="1">
      <c r="AD821" t="s">
        <v>3208</v>
      </c>
      <c r="AE821" t="s">
        <v>3209</v>
      </c>
      <c r="AF821" t="str">
        <f t="shared" si="79"/>
        <v>A679078</v>
      </c>
      <c r="AG821" t="str">
        <f>VLOOKUP(AF821,AKT!$C$4:$E$324,3,FALSE)</f>
        <v>0942</v>
      </c>
    </row>
    <row r="822" spans="30:33" hidden="1">
      <c r="AD822" t="s">
        <v>3210</v>
      </c>
      <c r="AE822" t="s">
        <v>3211</v>
      </c>
      <c r="AF822" t="str">
        <f t="shared" si="79"/>
        <v>A679078</v>
      </c>
      <c r="AG822" t="str">
        <f>VLOOKUP(AF822,AKT!$C$4:$E$324,3,FALSE)</f>
        <v>0942</v>
      </c>
    </row>
    <row r="823" spans="30:33" hidden="1">
      <c r="AD823" t="s">
        <v>3212</v>
      </c>
      <c r="AE823" t="s">
        <v>3213</v>
      </c>
      <c r="AF823" t="str">
        <f t="shared" si="79"/>
        <v>A679078</v>
      </c>
      <c r="AG823" t="str">
        <f>VLOOKUP(AF823,AKT!$C$4:$E$324,3,FALSE)</f>
        <v>0942</v>
      </c>
    </row>
    <row r="824" spans="30:33" hidden="1">
      <c r="AD824" t="s">
        <v>3214</v>
      </c>
      <c r="AE824" t="s">
        <v>3215</v>
      </c>
      <c r="AF824" t="str">
        <f t="shared" si="79"/>
        <v>A679078</v>
      </c>
      <c r="AG824" t="str">
        <f>VLOOKUP(AF824,AKT!$C$4:$E$324,3,FALSE)</f>
        <v>0942</v>
      </c>
    </row>
    <row r="825" spans="30:33" hidden="1">
      <c r="AD825" t="s">
        <v>3216</v>
      </c>
      <c r="AE825" t="s">
        <v>3217</v>
      </c>
      <c r="AF825" t="str">
        <f t="shared" si="79"/>
        <v>A679078</v>
      </c>
      <c r="AG825" t="str">
        <f>VLOOKUP(AF825,AKT!$C$4:$E$324,3,FALSE)</f>
        <v>0942</v>
      </c>
    </row>
    <row r="826" spans="30:33" hidden="1">
      <c r="AD826" t="s">
        <v>3218</v>
      </c>
      <c r="AE826" t="s">
        <v>3219</v>
      </c>
      <c r="AF826" t="str">
        <f t="shared" si="79"/>
        <v>A679078</v>
      </c>
      <c r="AG826" t="str">
        <f>VLOOKUP(AF826,AKT!$C$4:$E$324,3,FALSE)</f>
        <v>0942</v>
      </c>
    </row>
    <row r="827" spans="30:33" hidden="1">
      <c r="AD827" t="s">
        <v>3220</v>
      </c>
      <c r="AE827" t="s">
        <v>3221</v>
      </c>
      <c r="AF827" t="str">
        <f t="shared" si="79"/>
        <v>A679078</v>
      </c>
      <c r="AG827" t="str">
        <f>VLOOKUP(AF827,AKT!$C$4:$E$324,3,FALSE)</f>
        <v>0942</v>
      </c>
    </row>
    <row r="828" spans="30:33" hidden="1">
      <c r="AD828" t="s">
        <v>3222</v>
      </c>
      <c r="AE828" t="s">
        <v>3223</v>
      </c>
      <c r="AF828" t="str">
        <f t="shared" si="79"/>
        <v>A679078</v>
      </c>
      <c r="AG828" t="str">
        <f>VLOOKUP(AF828,AKT!$C$4:$E$324,3,FALSE)</f>
        <v>0942</v>
      </c>
    </row>
    <row r="829" spans="30:33" hidden="1">
      <c r="AD829" t="s">
        <v>3224</v>
      </c>
      <c r="AE829" t="s">
        <v>3225</v>
      </c>
      <c r="AF829" t="str">
        <f t="shared" si="79"/>
        <v>A679078</v>
      </c>
      <c r="AG829" t="str">
        <f>VLOOKUP(AF829,AKT!$C$4:$E$324,3,FALSE)</f>
        <v>0942</v>
      </c>
    </row>
    <row r="830" spans="30:33" hidden="1">
      <c r="AD830" t="s">
        <v>3226</v>
      </c>
      <c r="AE830" t="s">
        <v>3227</v>
      </c>
      <c r="AF830" t="str">
        <f t="shared" si="79"/>
        <v>A679078</v>
      </c>
      <c r="AG830" t="str">
        <f>VLOOKUP(AF830,AKT!$C$4:$E$324,3,FALSE)</f>
        <v>0942</v>
      </c>
    </row>
    <row r="831" spans="30:33" hidden="1">
      <c r="AD831" t="s">
        <v>3228</v>
      </c>
      <c r="AE831" t="s">
        <v>3229</v>
      </c>
      <c r="AF831" t="str">
        <f t="shared" si="79"/>
        <v>A679078</v>
      </c>
      <c r="AG831" t="str">
        <f>VLOOKUP(AF831,AKT!$C$4:$E$324,3,FALSE)</f>
        <v>0942</v>
      </c>
    </row>
    <row r="832" spans="30:33" hidden="1">
      <c r="AD832" t="s">
        <v>3230</v>
      </c>
      <c r="AE832" t="s">
        <v>3231</v>
      </c>
      <c r="AF832" t="str">
        <f t="shared" si="79"/>
        <v>A679078</v>
      </c>
      <c r="AG832" t="str">
        <f>VLOOKUP(AF832,AKT!$C$4:$E$324,3,FALSE)</f>
        <v>0942</v>
      </c>
    </row>
    <row r="833" spans="30:33" hidden="1">
      <c r="AD833" t="s">
        <v>3232</v>
      </c>
      <c r="AE833" t="s">
        <v>3233</v>
      </c>
      <c r="AF833" t="str">
        <f t="shared" si="79"/>
        <v>A679078</v>
      </c>
      <c r="AG833" t="str">
        <f>VLOOKUP(AF833,AKT!$C$4:$E$324,3,FALSE)</f>
        <v>0942</v>
      </c>
    </row>
    <row r="834" spans="30:33" hidden="1">
      <c r="AD834" t="s">
        <v>3234</v>
      </c>
      <c r="AE834" t="s">
        <v>3235</v>
      </c>
      <c r="AF834" t="str">
        <f t="shared" si="79"/>
        <v>A679078</v>
      </c>
      <c r="AG834" t="str">
        <f>VLOOKUP(AF834,AKT!$C$4:$E$324,3,FALSE)</f>
        <v>0942</v>
      </c>
    </row>
    <row r="835" spans="30:33" hidden="1">
      <c r="AD835" t="s">
        <v>3236</v>
      </c>
      <c r="AE835" t="s">
        <v>3237</v>
      </c>
      <c r="AF835" t="str">
        <f t="shared" si="79"/>
        <v>A679078</v>
      </c>
      <c r="AG835" t="str">
        <f>VLOOKUP(AF835,AKT!$C$4:$E$324,3,FALSE)</f>
        <v>0942</v>
      </c>
    </row>
    <row r="836" spans="30:33" hidden="1">
      <c r="AD836" t="s">
        <v>3238</v>
      </c>
      <c r="AE836" t="s">
        <v>3239</v>
      </c>
      <c r="AF836" t="str">
        <f t="shared" si="79"/>
        <v>A679078</v>
      </c>
      <c r="AG836" t="str">
        <f>VLOOKUP(AF836,AKT!$C$4:$E$324,3,FALSE)</f>
        <v>0942</v>
      </c>
    </row>
    <row r="837" spans="30:33" hidden="1">
      <c r="AD837" t="s">
        <v>3240</v>
      </c>
      <c r="AE837" t="s">
        <v>2813</v>
      </c>
      <c r="AF837" t="str">
        <f t="shared" si="79"/>
        <v>A679078</v>
      </c>
      <c r="AG837" t="str">
        <f>VLOOKUP(AF837,AKT!$C$4:$E$324,3,FALSE)</f>
        <v>0942</v>
      </c>
    </row>
    <row r="838" spans="30:33" hidden="1">
      <c r="AD838" t="s">
        <v>3241</v>
      </c>
      <c r="AE838" t="s">
        <v>3135</v>
      </c>
      <c r="AF838" t="str">
        <f t="shared" si="79"/>
        <v>A679078</v>
      </c>
      <c r="AG838" t="str">
        <f>VLOOKUP(AF838,AKT!$C$4:$E$324,3,FALSE)</f>
        <v>0942</v>
      </c>
    </row>
    <row r="839" spans="30:33" hidden="1">
      <c r="AD839" t="s">
        <v>3242</v>
      </c>
      <c r="AE839" t="s">
        <v>3243</v>
      </c>
      <c r="AF839" t="str">
        <f t="shared" si="79"/>
        <v>A679078</v>
      </c>
      <c r="AG839" t="str">
        <f>VLOOKUP(AF839,AKT!$C$4:$E$324,3,FALSE)</f>
        <v>0942</v>
      </c>
    </row>
    <row r="840" spans="30:33" hidden="1">
      <c r="AD840" t="s">
        <v>3244</v>
      </c>
      <c r="AE840" t="s">
        <v>3245</v>
      </c>
      <c r="AF840" t="str">
        <f t="shared" ref="AF840:AF903" si="80">LEFT(AD840,7)</f>
        <v>A679078</v>
      </c>
      <c r="AG840" t="str">
        <f>VLOOKUP(AF840,AKT!$C$4:$E$324,3,FALSE)</f>
        <v>0942</v>
      </c>
    </row>
    <row r="841" spans="30:33" hidden="1">
      <c r="AD841" t="s">
        <v>3246</v>
      </c>
      <c r="AE841" t="s">
        <v>3247</v>
      </c>
      <c r="AF841" t="str">
        <f t="shared" si="80"/>
        <v>A679078</v>
      </c>
      <c r="AG841" t="str">
        <f>VLOOKUP(AF841,AKT!$C$4:$E$324,3,FALSE)</f>
        <v>0942</v>
      </c>
    </row>
    <row r="842" spans="30:33" hidden="1">
      <c r="AD842" t="s">
        <v>3248</v>
      </c>
      <c r="AE842" t="s">
        <v>3249</v>
      </c>
      <c r="AF842" t="str">
        <f t="shared" si="80"/>
        <v>A679078</v>
      </c>
      <c r="AG842" t="str">
        <f>VLOOKUP(AF842,AKT!$C$4:$E$324,3,FALSE)</f>
        <v>0942</v>
      </c>
    </row>
    <row r="843" spans="30:33" hidden="1">
      <c r="AD843" t="s">
        <v>3250</v>
      </c>
      <c r="AE843" t="s">
        <v>3251</v>
      </c>
      <c r="AF843" t="str">
        <f t="shared" si="80"/>
        <v>A679078</v>
      </c>
      <c r="AG843" t="str">
        <f>VLOOKUP(AF843,AKT!$C$4:$E$324,3,FALSE)</f>
        <v>0942</v>
      </c>
    </row>
    <row r="844" spans="30:33" hidden="1">
      <c r="AD844" t="s">
        <v>3252</v>
      </c>
      <c r="AE844" t="s">
        <v>3253</v>
      </c>
      <c r="AF844" t="str">
        <f t="shared" si="80"/>
        <v>A679078</v>
      </c>
      <c r="AG844" t="str">
        <f>VLOOKUP(AF844,AKT!$C$4:$E$324,3,FALSE)</f>
        <v>0942</v>
      </c>
    </row>
    <row r="845" spans="30:33" hidden="1">
      <c r="AD845" t="s">
        <v>3254</v>
      </c>
      <c r="AE845" t="s">
        <v>2484</v>
      </c>
      <c r="AF845" t="str">
        <f t="shared" si="80"/>
        <v>A679078</v>
      </c>
      <c r="AG845" t="str">
        <f>VLOOKUP(AF845,AKT!$C$4:$E$324,3,FALSE)</f>
        <v>0942</v>
      </c>
    </row>
    <row r="846" spans="30:33" hidden="1">
      <c r="AD846" t="s">
        <v>3255</v>
      </c>
      <c r="AE846" t="s">
        <v>3256</v>
      </c>
      <c r="AF846" t="str">
        <f t="shared" si="80"/>
        <v>A679078</v>
      </c>
      <c r="AG846" t="str">
        <f>VLOOKUP(AF846,AKT!$C$4:$E$324,3,FALSE)</f>
        <v>0942</v>
      </c>
    </row>
    <row r="847" spans="30:33" hidden="1">
      <c r="AD847" t="s">
        <v>3257</v>
      </c>
      <c r="AE847" t="s">
        <v>3258</v>
      </c>
      <c r="AF847" t="str">
        <f t="shared" si="80"/>
        <v>A679078</v>
      </c>
      <c r="AG847" t="str">
        <f>VLOOKUP(AF847,AKT!$C$4:$E$324,3,FALSE)</f>
        <v>0942</v>
      </c>
    </row>
    <row r="848" spans="30:33" hidden="1">
      <c r="AD848" t="s">
        <v>3259</v>
      </c>
      <c r="AE848" t="s">
        <v>3260</v>
      </c>
      <c r="AF848" t="str">
        <f t="shared" si="80"/>
        <v>A679078</v>
      </c>
      <c r="AG848" t="str">
        <f>VLOOKUP(AF848,AKT!$C$4:$E$324,3,FALSE)</f>
        <v>0942</v>
      </c>
    </row>
    <row r="849" spans="30:33" hidden="1">
      <c r="AD849" t="s">
        <v>3261</v>
      </c>
      <c r="AE849" t="s">
        <v>3262</v>
      </c>
      <c r="AF849" t="str">
        <f t="shared" si="80"/>
        <v>A679078</v>
      </c>
      <c r="AG849" t="str">
        <f>VLOOKUP(AF849,AKT!$C$4:$E$324,3,FALSE)</f>
        <v>0942</v>
      </c>
    </row>
    <row r="850" spans="30:33" hidden="1">
      <c r="AD850" t="s">
        <v>3263</v>
      </c>
      <c r="AE850" t="s">
        <v>3264</v>
      </c>
      <c r="AF850" t="str">
        <f t="shared" si="80"/>
        <v>A679078</v>
      </c>
      <c r="AG850" t="str">
        <f>VLOOKUP(AF850,AKT!$C$4:$E$324,3,FALSE)</f>
        <v>0942</v>
      </c>
    </row>
    <row r="851" spans="30:33" hidden="1">
      <c r="AD851" t="s">
        <v>3265</v>
      </c>
      <c r="AE851" t="s">
        <v>3266</v>
      </c>
      <c r="AF851" t="str">
        <f t="shared" si="80"/>
        <v>A679078</v>
      </c>
      <c r="AG851" t="str">
        <f>VLOOKUP(AF851,AKT!$C$4:$E$324,3,FALSE)</f>
        <v>0942</v>
      </c>
    </row>
    <row r="852" spans="30:33" hidden="1">
      <c r="AD852" t="s">
        <v>3267</v>
      </c>
      <c r="AE852" t="s">
        <v>3268</v>
      </c>
      <c r="AF852" t="str">
        <f t="shared" si="80"/>
        <v>A679078</v>
      </c>
      <c r="AG852" t="str">
        <f>VLOOKUP(AF852,AKT!$C$4:$E$324,3,FALSE)</f>
        <v>0942</v>
      </c>
    </row>
    <row r="853" spans="30:33" hidden="1">
      <c r="AD853" t="s">
        <v>3269</v>
      </c>
      <c r="AE853" t="s">
        <v>3270</v>
      </c>
      <c r="AF853" t="str">
        <f t="shared" si="80"/>
        <v>A679078</v>
      </c>
      <c r="AG853" t="str">
        <f>VLOOKUP(AF853,AKT!$C$4:$E$324,3,FALSE)</f>
        <v>0942</v>
      </c>
    </row>
    <row r="854" spans="30:33" hidden="1">
      <c r="AD854" t="s">
        <v>3271</v>
      </c>
      <c r="AE854" t="s">
        <v>3272</v>
      </c>
      <c r="AF854" t="str">
        <f t="shared" si="80"/>
        <v>A679078</v>
      </c>
      <c r="AG854" t="str">
        <f>VLOOKUP(AF854,AKT!$C$4:$E$324,3,FALSE)</f>
        <v>0942</v>
      </c>
    </row>
    <row r="855" spans="30:33" hidden="1">
      <c r="AD855" t="s">
        <v>3273</v>
      </c>
      <c r="AE855" t="s">
        <v>3274</v>
      </c>
      <c r="AF855" t="str">
        <f t="shared" si="80"/>
        <v>A679078</v>
      </c>
      <c r="AG855" t="str">
        <f>VLOOKUP(AF855,AKT!$C$4:$E$324,3,FALSE)</f>
        <v>0942</v>
      </c>
    </row>
    <row r="856" spans="30:33" hidden="1">
      <c r="AD856" t="s">
        <v>3275</v>
      </c>
      <c r="AE856" t="s">
        <v>3276</v>
      </c>
      <c r="AF856" t="str">
        <f t="shared" si="80"/>
        <v>A679078</v>
      </c>
      <c r="AG856" t="str">
        <f>VLOOKUP(AF856,AKT!$C$4:$E$324,3,FALSE)</f>
        <v>0942</v>
      </c>
    </row>
    <row r="857" spans="30:33" hidden="1">
      <c r="AD857" t="s">
        <v>3277</v>
      </c>
      <c r="AE857" t="s">
        <v>3278</v>
      </c>
      <c r="AF857" t="str">
        <f t="shared" si="80"/>
        <v>A679078</v>
      </c>
      <c r="AG857" t="str">
        <f>VLOOKUP(AF857,AKT!$C$4:$E$324,3,FALSE)</f>
        <v>0942</v>
      </c>
    </row>
    <row r="858" spans="30:33" hidden="1">
      <c r="AD858" t="s">
        <v>3279</v>
      </c>
      <c r="AE858" t="s">
        <v>3280</v>
      </c>
      <c r="AF858" t="str">
        <f t="shared" si="80"/>
        <v>A679078</v>
      </c>
      <c r="AG858" t="str">
        <f>VLOOKUP(AF858,AKT!$C$4:$E$324,3,FALSE)</f>
        <v>0942</v>
      </c>
    </row>
    <row r="859" spans="30:33" hidden="1">
      <c r="AD859" t="s">
        <v>3281</v>
      </c>
      <c r="AE859" t="s">
        <v>3282</v>
      </c>
      <c r="AF859" t="str">
        <f t="shared" si="80"/>
        <v>A679078</v>
      </c>
      <c r="AG859" t="str">
        <f>VLOOKUP(AF859,AKT!$C$4:$E$324,3,FALSE)</f>
        <v>0942</v>
      </c>
    </row>
    <row r="860" spans="30:33" hidden="1">
      <c r="AD860" t="s">
        <v>3283</v>
      </c>
      <c r="AE860" t="s">
        <v>3284</v>
      </c>
      <c r="AF860" t="str">
        <f t="shared" si="80"/>
        <v>A679078</v>
      </c>
      <c r="AG860" t="str">
        <f>VLOOKUP(AF860,AKT!$C$4:$E$324,3,FALSE)</f>
        <v>0942</v>
      </c>
    </row>
    <row r="861" spans="30:33" hidden="1">
      <c r="AD861" t="s">
        <v>3285</v>
      </c>
      <c r="AE861" t="s">
        <v>3286</v>
      </c>
      <c r="AF861" t="str">
        <f t="shared" si="80"/>
        <v>A679078</v>
      </c>
      <c r="AG861" t="str">
        <f>VLOOKUP(AF861,AKT!$C$4:$E$324,3,FALSE)</f>
        <v>0942</v>
      </c>
    </row>
    <row r="862" spans="30:33" hidden="1">
      <c r="AD862" t="s">
        <v>3287</v>
      </c>
      <c r="AE862" t="s">
        <v>3288</v>
      </c>
      <c r="AF862" t="str">
        <f t="shared" si="80"/>
        <v>A679078</v>
      </c>
      <c r="AG862" t="str">
        <f>VLOOKUP(AF862,AKT!$C$4:$E$324,3,FALSE)</f>
        <v>0942</v>
      </c>
    </row>
    <row r="863" spans="30:33" hidden="1">
      <c r="AD863" t="s">
        <v>3289</v>
      </c>
      <c r="AE863" t="s">
        <v>3290</v>
      </c>
      <c r="AF863" t="str">
        <f t="shared" si="80"/>
        <v>A679078</v>
      </c>
      <c r="AG863" t="str">
        <f>VLOOKUP(AF863,AKT!$C$4:$E$324,3,FALSE)</f>
        <v>0942</v>
      </c>
    </row>
    <row r="864" spans="30:33" hidden="1">
      <c r="AD864" t="s">
        <v>3291</v>
      </c>
      <c r="AE864" t="s">
        <v>3292</v>
      </c>
      <c r="AF864" t="str">
        <f t="shared" si="80"/>
        <v>A679078</v>
      </c>
      <c r="AG864" t="str">
        <f>VLOOKUP(AF864,AKT!$C$4:$E$324,3,FALSE)</f>
        <v>0942</v>
      </c>
    </row>
    <row r="865" spans="30:33" hidden="1">
      <c r="AD865" t="s">
        <v>3293</v>
      </c>
      <c r="AE865" t="s">
        <v>3294</v>
      </c>
      <c r="AF865" t="str">
        <f t="shared" si="80"/>
        <v>A679078</v>
      </c>
      <c r="AG865" t="str">
        <f>VLOOKUP(AF865,AKT!$C$4:$E$324,3,FALSE)</f>
        <v>0942</v>
      </c>
    </row>
    <row r="866" spans="30:33" hidden="1">
      <c r="AD866" t="s">
        <v>3295</v>
      </c>
      <c r="AE866" t="s">
        <v>3296</v>
      </c>
      <c r="AF866" t="str">
        <f t="shared" si="80"/>
        <v>A679078</v>
      </c>
      <c r="AG866" t="str">
        <f>VLOOKUP(AF866,AKT!$C$4:$E$324,3,FALSE)</f>
        <v>0942</v>
      </c>
    </row>
    <row r="867" spans="30:33" hidden="1">
      <c r="AD867" t="s">
        <v>3297</v>
      </c>
      <c r="AE867" t="s">
        <v>3298</v>
      </c>
      <c r="AF867" t="str">
        <f t="shared" si="80"/>
        <v>A679078</v>
      </c>
      <c r="AG867" t="str">
        <f>VLOOKUP(AF867,AKT!$C$4:$E$324,3,FALSE)</f>
        <v>0942</v>
      </c>
    </row>
    <row r="868" spans="30:33" hidden="1">
      <c r="AD868" t="s">
        <v>3299</v>
      </c>
      <c r="AE868" t="s">
        <v>3300</v>
      </c>
      <c r="AF868" t="str">
        <f t="shared" si="80"/>
        <v>A679078</v>
      </c>
      <c r="AG868" t="str">
        <f>VLOOKUP(AF868,AKT!$C$4:$E$324,3,FALSE)</f>
        <v>0942</v>
      </c>
    </row>
    <row r="869" spans="30:33" hidden="1">
      <c r="AD869" t="s">
        <v>3301</v>
      </c>
      <c r="AE869" t="s">
        <v>3302</v>
      </c>
      <c r="AF869" t="str">
        <f t="shared" si="80"/>
        <v>A679078</v>
      </c>
      <c r="AG869" t="str">
        <f>VLOOKUP(AF869,AKT!$C$4:$E$324,3,FALSE)</f>
        <v>0942</v>
      </c>
    </row>
    <row r="870" spans="30:33" hidden="1">
      <c r="AD870" t="s">
        <v>3303</v>
      </c>
      <c r="AE870" t="s">
        <v>3304</v>
      </c>
      <c r="AF870" t="str">
        <f t="shared" si="80"/>
        <v>A679078</v>
      </c>
      <c r="AG870" t="str">
        <f>VLOOKUP(AF870,AKT!$C$4:$E$324,3,FALSE)</f>
        <v>0942</v>
      </c>
    </row>
    <row r="871" spans="30:33" hidden="1">
      <c r="AD871" t="s">
        <v>3305</v>
      </c>
      <c r="AE871" t="s">
        <v>3306</v>
      </c>
      <c r="AF871" t="str">
        <f t="shared" si="80"/>
        <v>A679078</v>
      </c>
      <c r="AG871" t="str">
        <f>VLOOKUP(AF871,AKT!$C$4:$E$324,3,FALSE)</f>
        <v>0942</v>
      </c>
    </row>
    <row r="872" spans="30:33" hidden="1">
      <c r="AD872" t="s">
        <v>3307</v>
      </c>
      <c r="AE872" t="s">
        <v>3308</v>
      </c>
      <c r="AF872" t="str">
        <f t="shared" si="80"/>
        <v>A679078</v>
      </c>
      <c r="AG872" t="str">
        <f>VLOOKUP(AF872,AKT!$C$4:$E$324,3,FALSE)</f>
        <v>0942</v>
      </c>
    </row>
    <row r="873" spans="30:33" hidden="1">
      <c r="AD873" t="s">
        <v>3309</v>
      </c>
      <c r="AE873" t="s">
        <v>3310</v>
      </c>
      <c r="AF873" t="str">
        <f t="shared" si="80"/>
        <v>A679078</v>
      </c>
      <c r="AG873" t="str">
        <f>VLOOKUP(AF873,AKT!$C$4:$E$324,3,FALSE)</f>
        <v>0942</v>
      </c>
    </row>
    <row r="874" spans="30:33" hidden="1">
      <c r="AD874" t="s">
        <v>3311</v>
      </c>
      <c r="AE874" t="s">
        <v>3312</v>
      </c>
      <c r="AF874" t="str">
        <f t="shared" si="80"/>
        <v>A679078</v>
      </c>
      <c r="AG874" t="str">
        <f>VLOOKUP(AF874,AKT!$C$4:$E$324,3,FALSE)</f>
        <v>0942</v>
      </c>
    </row>
    <row r="875" spans="30:33" hidden="1">
      <c r="AD875" t="s">
        <v>3313</v>
      </c>
      <c r="AE875" t="s">
        <v>3314</v>
      </c>
      <c r="AF875" t="str">
        <f t="shared" si="80"/>
        <v>A679078</v>
      </c>
      <c r="AG875" t="str">
        <f>VLOOKUP(AF875,AKT!$C$4:$E$324,3,FALSE)</f>
        <v>0942</v>
      </c>
    </row>
    <row r="876" spans="30:33" hidden="1">
      <c r="AD876" t="s">
        <v>3315</v>
      </c>
      <c r="AE876" t="s">
        <v>3316</v>
      </c>
      <c r="AF876" t="str">
        <f t="shared" si="80"/>
        <v>A679078</v>
      </c>
      <c r="AG876" t="str">
        <f>VLOOKUP(AF876,AKT!$C$4:$E$324,3,FALSE)</f>
        <v>0942</v>
      </c>
    </row>
    <row r="877" spans="30:33" hidden="1">
      <c r="AD877" t="s">
        <v>3317</v>
      </c>
      <c r="AE877" t="s">
        <v>3318</v>
      </c>
      <c r="AF877" t="str">
        <f t="shared" si="80"/>
        <v>A679078</v>
      </c>
      <c r="AG877" t="str">
        <f>VLOOKUP(AF877,AKT!$C$4:$E$324,3,FALSE)</f>
        <v>0942</v>
      </c>
    </row>
    <row r="878" spans="30:33" hidden="1">
      <c r="AD878" t="s">
        <v>3319</v>
      </c>
      <c r="AE878" t="s">
        <v>3320</v>
      </c>
      <c r="AF878" t="str">
        <f t="shared" si="80"/>
        <v>A679078</v>
      </c>
      <c r="AG878" t="str">
        <f>VLOOKUP(AF878,AKT!$C$4:$E$324,3,FALSE)</f>
        <v>0942</v>
      </c>
    </row>
    <row r="879" spans="30:33" hidden="1">
      <c r="AD879" t="s">
        <v>3321</v>
      </c>
      <c r="AE879" t="s">
        <v>3322</v>
      </c>
      <c r="AF879" t="str">
        <f t="shared" si="80"/>
        <v>A679078</v>
      </c>
      <c r="AG879" t="str">
        <f>VLOOKUP(AF879,AKT!$C$4:$E$324,3,FALSE)</f>
        <v>0942</v>
      </c>
    </row>
    <row r="880" spans="30:33" hidden="1">
      <c r="AD880" t="s">
        <v>3323</v>
      </c>
      <c r="AE880" t="s">
        <v>3324</v>
      </c>
      <c r="AF880" t="str">
        <f t="shared" si="80"/>
        <v>A679078</v>
      </c>
      <c r="AG880" t="str">
        <f>VLOOKUP(AF880,AKT!$C$4:$E$324,3,FALSE)</f>
        <v>0942</v>
      </c>
    </row>
    <row r="881" spans="30:33" hidden="1">
      <c r="AD881" t="s">
        <v>3325</v>
      </c>
      <c r="AE881" t="s">
        <v>3326</v>
      </c>
      <c r="AF881" t="str">
        <f t="shared" si="80"/>
        <v>A679078</v>
      </c>
      <c r="AG881" t="str">
        <f>VLOOKUP(AF881,AKT!$C$4:$E$324,3,FALSE)</f>
        <v>0942</v>
      </c>
    </row>
    <row r="882" spans="30:33" hidden="1">
      <c r="AD882" t="s">
        <v>3327</v>
      </c>
      <c r="AE882" t="s">
        <v>3328</v>
      </c>
      <c r="AF882" t="str">
        <f t="shared" si="80"/>
        <v>A679078</v>
      </c>
      <c r="AG882" t="str">
        <f>VLOOKUP(AF882,AKT!$C$4:$E$324,3,FALSE)</f>
        <v>0942</v>
      </c>
    </row>
    <row r="883" spans="30:33" hidden="1">
      <c r="AD883" t="s">
        <v>3329</v>
      </c>
      <c r="AE883" t="s">
        <v>3330</v>
      </c>
      <c r="AF883" t="str">
        <f t="shared" si="80"/>
        <v>A679078</v>
      </c>
      <c r="AG883" t="str">
        <f>VLOOKUP(AF883,AKT!$C$4:$E$324,3,FALSE)</f>
        <v>0942</v>
      </c>
    </row>
    <row r="884" spans="30:33" hidden="1">
      <c r="AD884" t="s">
        <v>3331</v>
      </c>
      <c r="AE884" t="s">
        <v>3332</v>
      </c>
      <c r="AF884" t="str">
        <f t="shared" si="80"/>
        <v>A679078</v>
      </c>
      <c r="AG884" t="str">
        <f>VLOOKUP(AF884,AKT!$C$4:$E$324,3,FALSE)</f>
        <v>0942</v>
      </c>
    </row>
    <row r="885" spans="30:33" hidden="1">
      <c r="AD885" t="s">
        <v>3333</v>
      </c>
      <c r="AE885" t="s">
        <v>3334</v>
      </c>
      <c r="AF885" t="str">
        <f t="shared" si="80"/>
        <v>A679078</v>
      </c>
      <c r="AG885" t="str">
        <f>VLOOKUP(AF885,AKT!$C$4:$E$324,3,FALSE)</f>
        <v>0942</v>
      </c>
    </row>
    <row r="886" spans="30:33" hidden="1">
      <c r="AD886" t="s">
        <v>3335</v>
      </c>
      <c r="AE886" t="s">
        <v>3336</v>
      </c>
      <c r="AF886" t="str">
        <f t="shared" si="80"/>
        <v>A679078</v>
      </c>
      <c r="AG886" t="str">
        <f>VLOOKUP(AF886,AKT!$C$4:$E$324,3,FALSE)</f>
        <v>0942</v>
      </c>
    </row>
    <row r="887" spans="30:33" hidden="1">
      <c r="AD887" t="s">
        <v>3337</v>
      </c>
      <c r="AE887" t="s">
        <v>3338</v>
      </c>
      <c r="AF887" t="str">
        <f t="shared" si="80"/>
        <v>A679078</v>
      </c>
      <c r="AG887" t="str">
        <f>VLOOKUP(AF887,AKT!$C$4:$E$324,3,FALSE)</f>
        <v>0942</v>
      </c>
    </row>
    <row r="888" spans="30:33" hidden="1">
      <c r="AD888" t="s">
        <v>3339</v>
      </c>
      <c r="AE888" t="s">
        <v>3340</v>
      </c>
      <c r="AF888" t="str">
        <f t="shared" si="80"/>
        <v>A679078</v>
      </c>
      <c r="AG888" t="str">
        <f>VLOOKUP(AF888,AKT!$C$4:$E$324,3,FALSE)</f>
        <v>0942</v>
      </c>
    </row>
    <row r="889" spans="30:33" hidden="1">
      <c r="AD889" t="s">
        <v>3341</v>
      </c>
      <c r="AE889" t="s">
        <v>3342</v>
      </c>
      <c r="AF889" t="str">
        <f t="shared" si="80"/>
        <v>A679078</v>
      </c>
      <c r="AG889" t="str">
        <f>VLOOKUP(AF889,AKT!$C$4:$E$324,3,FALSE)</f>
        <v>0942</v>
      </c>
    </row>
    <row r="890" spans="30:33" hidden="1">
      <c r="AD890" t="s">
        <v>3343</v>
      </c>
      <c r="AE890" t="s">
        <v>3344</v>
      </c>
      <c r="AF890" t="str">
        <f t="shared" si="80"/>
        <v>A679078</v>
      </c>
      <c r="AG890" t="str">
        <f>VLOOKUP(AF890,AKT!$C$4:$E$324,3,FALSE)</f>
        <v>0942</v>
      </c>
    </row>
    <row r="891" spans="30:33" hidden="1">
      <c r="AD891" t="s">
        <v>3345</v>
      </c>
      <c r="AE891" t="s">
        <v>3346</v>
      </c>
      <c r="AF891" t="str">
        <f t="shared" si="80"/>
        <v>A679078</v>
      </c>
      <c r="AG891" t="str">
        <f>VLOOKUP(AF891,AKT!$C$4:$E$324,3,FALSE)</f>
        <v>0942</v>
      </c>
    </row>
    <row r="892" spans="30:33" hidden="1">
      <c r="AD892" t="s">
        <v>3347</v>
      </c>
      <c r="AE892" t="s">
        <v>3348</v>
      </c>
      <c r="AF892" t="str">
        <f t="shared" si="80"/>
        <v>A679078</v>
      </c>
      <c r="AG892" t="str">
        <f>VLOOKUP(AF892,AKT!$C$4:$E$324,3,FALSE)</f>
        <v>0942</v>
      </c>
    </row>
    <row r="893" spans="30:33" hidden="1">
      <c r="AD893" t="s">
        <v>3349</v>
      </c>
      <c r="AE893" t="s">
        <v>3350</v>
      </c>
      <c r="AF893" t="str">
        <f t="shared" si="80"/>
        <v>A679078</v>
      </c>
      <c r="AG893" t="str">
        <f>VLOOKUP(AF893,AKT!$C$4:$E$324,3,FALSE)</f>
        <v>0942</v>
      </c>
    </row>
    <row r="894" spans="30:33" hidden="1">
      <c r="AD894" t="s">
        <v>3351</v>
      </c>
      <c r="AE894" t="s">
        <v>3352</v>
      </c>
      <c r="AF894" t="str">
        <f t="shared" si="80"/>
        <v>A679078</v>
      </c>
      <c r="AG894" t="str">
        <f>VLOOKUP(AF894,AKT!$C$4:$E$324,3,FALSE)</f>
        <v>0942</v>
      </c>
    </row>
    <row r="895" spans="30:33" hidden="1">
      <c r="AD895" t="s">
        <v>3353</v>
      </c>
      <c r="AE895" t="s">
        <v>3354</v>
      </c>
      <c r="AF895" t="str">
        <f t="shared" si="80"/>
        <v>A679078</v>
      </c>
      <c r="AG895" t="str">
        <f>VLOOKUP(AF895,AKT!$C$4:$E$324,3,FALSE)</f>
        <v>0942</v>
      </c>
    </row>
    <row r="896" spans="30:33" hidden="1">
      <c r="AD896" t="s">
        <v>3355</v>
      </c>
      <c r="AE896" t="s">
        <v>3356</v>
      </c>
      <c r="AF896" t="str">
        <f t="shared" si="80"/>
        <v>A679078</v>
      </c>
      <c r="AG896" t="str">
        <f>VLOOKUP(AF896,AKT!$C$4:$E$324,3,FALSE)</f>
        <v>0942</v>
      </c>
    </row>
    <row r="897" spans="30:33" hidden="1">
      <c r="AD897" t="s">
        <v>3357</v>
      </c>
      <c r="AE897" t="s">
        <v>3358</v>
      </c>
      <c r="AF897" t="str">
        <f t="shared" si="80"/>
        <v>A679078</v>
      </c>
      <c r="AG897" t="str">
        <f>VLOOKUP(AF897,AKT!$C$4:$E$324,3,FALSE)</f>
        <v>0942</v>
      </c>
    </row>
    <row r="898" spans="30:33" hidden="1">
      <c r="AD898" t="s">
        <v>3359</v>
      </c>
      <c r="AE898" t="s">
        <v>3360</v>
      </c>
      <c r="AF898" t="str">
        <f t="shared" si="80"/>
        <v>A679078</v>
      </c>
      <c r="AG898" t="str">
        <f>VLOOKUP(AF898,AKT!$C$4:$E$324,3,FALSE)</f>
        <v>0942</v>
      </c>
    </row>
    <row r="899" spans="30:33" hidden="1">
      <c r="AD899" t="s">
        <v>3361</v>
      </c>
      <c r="AE899" t="s">
        <v>3362</v>
      </c>
      <c r="AF899" t="str">
        <f t="shared" si="80"/>
        <v>A679078</v>
      </c>
      <c r="AG899" t="str">
        <f>VLOOKUP(AF899,AKT!$C$4:$E$324,3,FALSE)</f>
        <v>0942</v>
      </c>
    </row>
    <row r="900" spans="30:33" hidden="1">
      <c r="AD900" t="s">
        <v>3363</v>
      </c>
      <c r="AE900" t="s">
        <v>3364</v>
      </c>
      <c r="AF900" t="str">
        <f t="shared" si="80"/>
        <v>A679078</v>
      </c>
      <c r="AG900" t="str">
        <f>VLOOKUP(AF900,AKT!$C$4:$E$324,3,FALSE)</f>
        <v>0942</v>
      </c>
    </row>
    <row r="901" spans="30:33" hidden="1">
      <c r="AD901" t="s">
        <v>3365</v>
      </c>
      <c r="AE901" t="s">
        <v>3366</v>
      </c>
      <c r="AF901" t="str">
        <f t="shared" si="80"/>
        <v>A679078</v>
      </c>
      <c r="AG901" t="str">
        <f>VLOOKUP(AF901,AKT!$C$4:$E$324,3,FALSE)</f>
        <v>0942</v>
      </c>
    </row>
    <row r="902" spans="30:33" hidden="1">
      <c r="AD902" t="s">
        <v>3367</v>
      </c>
      <c r="AE902" t="s">
        <v>1275</v>
      </c>
      <c r="AF902" t="str">
        <f t="shared" si="80"/>
        <v>A679078</v>
      </c>
      <c r="AG902" t="str">
        <f>VLOOKUP(AF902,AKT!$C$4:$E$324,3,FALSE)</f>
        <v>0942</v>
      </c>
    </row>
    <row r="903" spans="30:33" hidden="1">
      <c r="AD903" t="s">
        <v>3368</v>
      </c>
      <c r="AE903" t="s">
        <v>2046</v>
      </c>
      <c r="AF903" t="str">
        <f t="shared" si="80"/>
        <v>A679078</v>
      </c>
      <c r="AG903" t="str">
        <f>VLOOKUP(AF903,AKT!$C$4:$E$324,3,FALSE)</f>
        <v>0942</v>
      </c>
    </row>
    <row r="904" spans="30:33" hidden="1">
      <c r="AD904" t="s">
        <v>3369</v>
      </c>
      <c r="AE904" t="s">
        <v>3370</v>
      </c>
      <c r="AF904" t="str">
        <f t="shared" ref="AF904:AF967" si="81">LEFT(AD904,7)</f>
        <v>A679078</v>
      </c>
      <c r="AG904" t="str">
        <f>VLOOKUP(AF904,AKT!$C$4:$E$324,3,FALSE)</f>
        <v>0942</v>
      </c>
    </row>
    <row r="905" spans="30:33" hidden="1">
      <c r="AD905" t="s">
        <v>3371</v>
      </c>
      <c r="AE905" t="s">
        <v>2929</v>
      </c>
      <c r="AF905" t="str">
        <f t="shared" si="81"/>
        <v>A679078</v>
      </c>
      <c r="AG905" t="str">
        <f>VLOOKUP(AF905,AKT!$C$4:$E$324,3,FALSE)</f>
        <v>0942</v>
      </c>
    </row>
    <row r="906" spans="30:33" hidden="1">
      <c r="AD906" t="s">
        <v>3372</v>
      </c>
      <c r="AE906" t="s">
        <v>1170</v>
      </c>
      <c r="AF906" t="str">
        <f t="shared" si="81"/>
        <v>A679078</v>
      </c>
      <c r="AG906" t="str">
        <f>VLOOKUP(AF906,AKT!$C$4:$E$324,3,FALSE)</f>
        <v>0942</v>
      </c>
    </row>
    <row r="907" spans="30:33" hidden="1">
      <c r="AD907" t="s">
        <v>3373</v>
      </c>
      <c r="AE907" t="s">
        <v>1265</v>
      </c>
      <c r="AF907" t="str">
        <f t="shared" si="81"/>
        <v>A679078</v>
      </c>
      <c r="AG907" t="str">
        <f>VLOOKUP(AF907,AKT!$C$4:$E$324,3,FALSE)</f>
        <v>0942</v>
      </c>
    </row>
    <row r="908" spans="30:33" hidden="1">
      <c r="AD908" t="s">
        <v>3374</v>
      </c>
      <c r="AE908" t="s">
        <v>3375</v>
      </c>
      <c r="AF908" t="str">
        <f t="shared" si="81"/>
        <v>A679078</v>
      </c>
      <c r="AG908" t="str">
        <f>VLOOKUP(AF908,AKT!$C$4:$E$324,3,FALSE)</f>
        <v>0942</v>
      </c>
    </row>
    <row r="909" spans="30:33" hidden="1">
      <c r="AD909" t="s">
        <v>3376</v>
      </c>
      <c r="AE909" t="s">
        <v>3377</v>
      </c>
      <c r="AF909" t="str">
        <f t="shared" si="81"/>
        <v>A679078</v>
      </c>
      <c r="AG909" t="str">
        <f>VLOOKUP(AF909,AKT!$C$4:$E$324,3,FALSE)</f>
        <v>0942</v>
      </c>
    </row>
    <row r="910" spans="30:33" hidden="1">
      <c r="AD910" t="s">
        <v>860</v>
      </c>
      <c r="AE910" t="s">
        <v>861</v>
      </c>
      <c r="AF910" t="str">
        <f t="shared" si="81"/>
        <v>A679081</v>
      </c>
      <c r="AG910" t="str">
        <f>VLOOKUP(AF910,AKT!$C$4:$E$324,3,FALSE)</f>
        <v>0942</v>
      </c>
    </row>
    <row r="911" spans="30:33" hidden="1">
      <c r="AD911" t="s">
        <v>3378</v>
      </c>
      <c r="AE911" t="s">
        <v>3379</v>
      </c>
      <c r="AF911" t="str">
        <f t="shared" si="81"/>
        <v>A679081</v>
      </c>
      <c r="AG911" t="str">
        <f>VLOOKUP(AF911,AKT!$C$4:$E$324,3,FALSE)</f>
        <v>0942</v>
      </c>
    </row>
    <row r="912" spans="30:33" hidden="1">
      <c r="AD912" t="s">
        <v>862</v>
      </c>
      <c r="AE912" t="s">
        <v>863</v>
      </c>
      <c r="AF912" t="str">
        <f t="shared" si="81"/>
        <v>A679081</v>
      </c>
      <c r="AG912" t="str">
        <f>VLOOKUP(AF912,AKT!$C$4:$E$324,3,FALSE)</f>
        <v>0942</v>
      </c>
    </row>
    <row r="913" spans="30:33" hidden="1">
      <c r="AD913" t="s">
        <v>864</v>
      </c>
      <c r="AE913" t="s">
        <v>865</v>
      </c>
      <c r="AF913" t="str">
        <f t="shared" si="81"/>
        <v>A679081</v>
      </c>
      <c r="AG913" t="str">
        <f>VLOOKUP(AF913,AKT!$C$4:$E$324,3,FALSE)</f>
        <v>0942</v>
      </c>
    </row>
    <row r="914" spans="30:33" hidden="1">
      <c r="AD914" t="s">
        <v>1566</v>
      </c>
      <c r="AE914" t="s">
        <v>1567</v>
      </c>
      <c r="AF914" t="str">
        <f t="shared" si="81"/>
        <v>A679081</v>
      </c>
      <c r="AG914" t="str">
        <f>VLOOKUP(AF914,AKT!$C$4:$E$324,3,FALSE)</f>
        <v>0942</v>
      </c>
    </row>
    <row r="915" spans="30:33" hidden="1">
      <c r="AD915" t="s">
        <v>3380</v>
      </c>
      <c r="AE915" t="s">
        <v>3381</v>
      </c>
      <c r="AF915" t="str">
        <f t="shared" si="81"/>
        <v>A679081</v>
      </c>
      <c r="AG915" t="str">
        <f>VLOOKUP(AF915,AKT!$C$4:$E$324,3,FALSE)</f>
        <v>0942</v>
      </c>
    </row>
    <row r="916" spans="30:33" hidden="1">
      <c r="AD916" t="s">
        <v>3382</v>
      </c>
      <c r="AE916" t="s">
        <v>3225</v>
      </c>
      <c r="AF916" t="str">
        <f t="shared" si="81"/>
        <v>A679081</v>
      </c>
      <c r="AG916" t="str">
        <f>VLOOKUP(AF916,AKT!$C$4:$E$324,3,FALSE)</f>
        <v>0942</v>
      </c>
    </row>
    <row r="917" spans="30:33" hidden="1">
      <c r="AD917" t="s">
        <v>3383</v>
      </c>
      <c r="AE917" t="s">
        <v>3384</v>
      </c>
      <c r="AF917" t="str">
        <f t="shared" si="81"/>
        <v>A679081</v>
      </c>
      <c r="AG917" t="str">
        <f>VLOOKUP(AF917,AKT!$C$4:$E$324,3,FALSE)</f>
        <v>0942</v>
      </c>
    </row>
    <row r="918" spans="30:33" hidden="1">
      <c r="AD918" t="s">
        <v>3385</v>
      </c>
      <c r="AE918" t="s">
        <v>3386</v>
      </c>
      <c r="AF918" t="str">
        <f t="shared" si="81"/>
        <v>A679081</v>
      </c>
      <c r="AG918" t="str">
        <f>VLOOKUP(AF918,AKT!$C$4:$E$324,3,FALSE)</f>
        <v>0942</v>
      </c>
    </row>
    <row r="919" spans="30:33" hidden="1">
      <c r="AD919" t="s">
        <v>3387</v>
      </c>
      <c r="AE919" t="s">
        <v>3388</v>
      </c>
      <c r="AF919" t="str">
        <f t="shared" si="81"/>
        <v>A679081</v>
      </c>
      <c r="AG919" t="str">
        <f>VLOOKUP(AF919,AKT!$C$4:$E$324,3,FALSE)</f>
        <v>0942</v>
      </c>
    </row>
    <row r="920" spans="30:33" hidden="1">
      <c r="AD920" t="s">
        <v>3389</v>
      </c>
      <c r="AE920" t="s">
        <v>3390</v>
      </c>
      <c r="AF920" t="str">
        <f t="shared" si="81"/>
        <v>A679081</v>
      </c>
      <c r="AG920" t="str">
        <f>VLOOKUP(AF920,AKT!$C$4:$E$324,3,FALSE)</f>
        <v>0942</v>
      </c>
    </row>
    <row r="921" spans="30:33" hidden="1">
      <c r="AD921" t="s">
        <v>2918</v>
      </c>
      <c r="AE921" t="s">
        <v>2919</v>
      </c>
      <c r="AF921" t="str">
        <f t="shared" si="81"/>
        <v>A679115</v>
      </c>
      <c r="AG921" t="str">
        <f>VLOOKUP(AF921,AKT!$C$4:$E$324,3,FALSE)</f>
        <v>0942</v>
      </c>
    </row>
    <row r="922" spans="30:33" hidden="1">
      <c r="AD922" t="s">
        <v>2920</v>
      </c>
      <c r="AE922" t="s">
        <v>2921</v>
      </c>
      <c r="AF922" t="str">
        <f t="shared" si="81"/>
        <v>A679115</v>
      </c>
      <c r="AG922" t="str">
        <f>VLOOKUP(AF922,AKT!$C$4:$E$324,3,FALSE)</f>
        <v>0942</v>
      </c>
    </row>
    <row r="923" spans="30:33" hidden="1">
      <c r="AD923" t="s">
        <v>2923</v>
      </c>
      <c r="AE923" t="s">
        <v>2922</v>
      </c>
      <c r="AF923" t="str">
        <f t="shared" si="81"/>
        <v>A679115</v>
      </c>
      <c r="AG923" t="str">
        <f>VLOOKUP(AF923,AKT!$C$4:$E$324,3,FALSE)</f>
        <v>0942</v>
      </c>
    </row>
    <row r="924" spans="30:33" hidden="1">
      <c r="AD924" t="s">
        <v>2924</v>
      </c>
      <c r="AE924" t="s">
        <v>2925</v>
      </c>
      <c r="AF924" t="str">
        <f t="shared" si="81"/>
        <v>A679115</v>
      </c>
      <c r="AG924" t="str">
        <f>VLOOKUP(AF924,AKT!$C$4:$E$324,3,FALSE)</f>
        <v>0942</v>
      </c>
    </row>
    <row r="925" spans="30:33" hidden="1">
      <c r="AD925" t="s">
        <v>2926</v>
      </c>
      <c r="AE925" t="s">
        <v>2927</v>
      </c>
      <c r="AF925" t="str">
        <f t="shared" si="81"/>
        <v>A679115</v>
      </c>
      <c r="AG925" t="str">
        <f>VLOOKUP(AF925,AKT!$C$4:$E$324,3,FALSE)</f>
        <v>0942</v>
      </c>
    </row>
    <row r="926" spans="30:33" hidden="1">
      <c r="AD926" t="s">
        <v>3391</v>
      </c>
      <c r="AE926" t="s">
        <v>3392</v>
      </c>
      <c r="AF926" t="str">
        <f t="shared" si="81"/>
        <v>A679115</v>
      </c>
      <c r="AG926" t="str">
        <f>VLOOKUP(AF926,AKT!$C$4:$E$324,3,FALSE)</f>
        <v>0942</v>
      </c>
    </row>
    <row r="927" spans="30:33" hidden="1">
      <c r="AD927" t="s">
        <v>3393</v>
      </c>
      <c r="AE927" t="s">
        <v>3394</v>
      </c>
      <c r="AF927" t="str">
        <f t="shared" si="81"/>
        <v>A679115</v>
      </c>
      <c r="AG927" t="str">
        <f>VLOOKUP(AF927,AKT!$C$4:$E$324,3,FALSE)</f>
        <v>0942</v>
      </c>
    </row>
    <row r="928" spans="30:33" hidden="1">
      <c r="AD928" t="s">
        <v>3395</v>
      </c>
      <c r="AE928" t="s">
        <v>3396</v>
      </c>
      <c r="AF928" t="str">
        <f t="shared" si="81"/>
        <v>A679115</v>
      </c>
      <c r="AG928" t="str">
        <f>VLOOKUP(AF928,AKT!$C$4:$E$324,3,FALSE)</f>
        <v>0942</v>
      </c>
    </row>
    <row r="929" spans="30:33" hidden="1">
      <c r="AD929" t="s">
        <v>866</v>
      </c>
      <c r="AE929" t="s">
        <v>257</v>
      </c>
      <c r="AF929" t="str">
        <f t="shared" si="81"/>
        <v>K679084</v>
      </c>
      <c r="AG929" t="str">
        <f>VLOOKUP(AF929,AKT!$C$4:$E$324,3,FALSE)</f>
        <v>0942</v>
      </c>
    </row>
    <row r="930" spans="30:33" hidden="1">
      <c r="AD930" t="s">
        <v>867</v>
      </c>
      <c r="AE930" t="s">
        <v>258</v>
      </c>
      <c r="AF930" t="str">
        <f t="shared" si="81"/>
        <v>K679084</v>
      </c>
      <c r="AG930" t="str">
        <f>VLOOKUP(AF930,AKT!$C$4:$E$324,3,FALSE)</f>
        <v>0942</v>
      </c>
    </row>
    <row r="931" spans="30:33" hidden="1">
      <c r="AD931" t="s">
        <v>868</v>
      </c>
      <c r="AE931" t="s">
        <v>869</v>
      </c>
      <c r="AF931" t="str">
        <f t="shared" si="81"/>
        <v>K679084</v>
      </c>
      <c r="AG931" t="str">
        <f>VLOOKUP(AF931,AKT!$C$4:$E$324,3,FALSE)</f>
        <v>0942</v>
      </c>
    </row>
    <row r="932" spans="30:33" hidden="1">
      <c r="AD932" t="s">
        <v>870</v>
      </c>
      <c r="AE932" t="s">
        <v>871</v>
      </c>
      <c r="AF932" t="str">
        <f t="shared" si="81"/>
        <v>K679084</v>
      </c>
      <c r="AG932" t="str">
        <f>VLOOKUP(AF932,AKT!$C$4:$E$324,3,FALSE)</f>
        <v>0942</v>
      </c>
    </row>
    <row r="933" spans="30:33" hidden="1">
      <c r="AD933" t="s">
        <v>1568</v>
      </c>
      <c r="AE933" t="s">
        <v>1172</v>
      </c>
      <c r="AF933" t="str">
        <f t="shared" si="81"/>
        <v>K679084</v>
      </c>
      <c r="AG933" t="str">
        <f>VLOOKUP(AF933,AKT!$C$4:$E$324,3,FALSE)</f>
        <v>0942</v>
      </c>
    </row>
    <row r="934" spans="30:33" hidden="1">
      <c r="AD934" t="s">
        <v>2928</v>
      </c>
      <c r="AE934" t="s">
        <v>2929</v>
      </c>
      <c r="AF934" t="str">
        <f t="shared" si="81"/>
        <v>K679084</v>
      </c>
      <c r="AG934" t="str">
        <f>VLOOKUP(AF934,AKT!$C$4:$E$324,3,FALSE)</f>
        <v>0942</v>
      </c>
    </row>
    <row r="935" spans="30:33" hidden="1">
      <c r="AD935" t="s">
        <v>2930</v>
      </c>
      <c r="AE935" t="s">
        <v>1179</v>
      </c>
      <c r="AF935" t="str">
        <f t="shared" si="81"/>
        <v>K679084</v>
      </c>
      <c r="AG935" t="str">
        <f>VLOOKUP(AF935,AKT!$C$4:$E$324,3,FALSE)</f>
        <v>0942</v>
      </c>
    </row>
    <row r="936" spans="30:33" hidden="1">
      <c r="AD936" t="s">
        <v>872</v>
      </c>
      <c r="AE936" t="s">
        <v>873</v>
      </c>
      <c r="AF936" t="str">
        <f t="shared" si="81"/>
        <v>K679106</v>
      </c>
      <c r="AG936" t="str">
        <f>VLOOKUP(AF936,AKT!$C$4:$E$324,3,FALSE)</f>
        <v>0942</v>
      </c>
    </row>
    <row r="937" spans="30:33" hidden="1">
      <c r="AD937" t="s">
        <v>874</v>
      </c>
      <c r="AE937" t="s">
        <v>875</v>
      </c>
      <c r="AF937" t="str">
        <f t="shared" si="81"/>
        <v>K679106</v>
      </c>
      <c r="AG937" t="str">
        <f>VLOOKUP(AF937,AKT!$C$4:$E$324,3,FALSE)</f>
        <v>0942</v>
      </c>
    </row>
    <row r="938" spans="30:33" hidden="1">
      <c r="AD938" t="s">
        <v>876</v>
      </c>
      <c r="AE938" t="s">
        <v>877</v>
      </c>
      <c r="AF938" t="str">
        <f t="shared" si="81"/>
        <v>K679106</v>
      </c>
      <c r="AG938" t="str">
        <f>VLOOKUP(AF938,AKT!$C$4:$E$324,3,FALSE)</f>
        <v>0942</v>
      </c>
    </row>
    <row r="939" spans="30:33" hidden="1">
      <c r="AD939" t="s">
        <v>2931</v>
      </c>
      <c r="AE939" t="s">
        <v>2932</v>
      </c>
      <c r="AF939" t="str">
        <f t="shared" si="81"/>
        <v>K679106</v>
      </c>
      <c r="AG939" t="str">
        <f>VLOOKUP(AF939,AKT!$C$4:$E$324,3,FALSE)</f>
        <v>0942</v>
      </c>
    </row>
    <row r="940" spans="30:33" hidden="1">
      <c r="AD940" t="s">
        <v>2933</v>
      </c>
      <c r="AE940" t="s">
        <v>2934</v>
      </c>
      <c r="AF940" t="str">
        <f t="shared" si="81"/>
        <v>K679106</v>
      </c>
      <c r="AG940" t="str">
        <f>VLOOKUP(AF940,AKT!$C$4:$E$324,3,FALSE)</f>
        <v>0942</v>
      </c>
    </row>
    <row r="941" spans="30:33" hidden="1">
      <c r="AD941" t="s">
        <v>878</v>
      </c>
      <c r="AE941" t="s">
        <v>879</v>
      </c>
      <c r="AF941" t="str">
        <f>LEFT(AD941,7)</f>
        <v>K679111</v>
      </c>
      <c r="AG941" t="str">
        <f>IFERROR(VLOOKUP(AF941,AKT!$C$4:$E$324,3,FALSE),"0942")</f>
        <v>0942</v>
      </c>
    </row>
    <row r="942" spans="30:33" hidden="1">
      <c r="AD942" t="s">
        <v>880</v>
      </c>
      <c r="AE942" t="s">
        <v>881</v>
      </c>
      <c r="AF942" t="str">
        <f t="shared" si="81"/>
        <v>A622125</v>
      </c>
      <c r="AG942" t="str">
        <f>VLOOKUP(AF942,AKT!$C$4:$E$324,3,FALSE)</f>
        <v>0150</v>
      </c>
    </row>
    <row r="943" spans="30:33" hidden="1">
      <c r="AD943" t="s">
        <v>3397</v>
      </c>
      <c r="AE943" t="s">
        <v>881</v>
      </c>
      <c r="AF943" t="str">
        <f t="shared" si="81"/>
        <v>A622125</v>
      </c>
      <c r="AG943" t="str">
        <f>VLOOKUP(AF943,AKT!$C$4:$E$324,3,FALSE)</f>
        <v>0150</v>
      </c>
    </row>
    <row r="944" spans="30:33" hidden="1">
      <c r="AD944" t="s">
        <v>882</v>
      </c>
      <c r="AE944" t="s">
        <v>883</v>
      </c>
      <c r="AF944" t="str">
        <f t="shared" si="81"/>
        <v>A622125</v>
      </c>
      <c r="AG944" t="str">
        <f>VLOOKUP(AF944,AKT!$C$4:$E$324,3,FALSE)</f>
        <v>0150</v>
      </c>
    </row>
    <row r="945" spans="30:33" hidden="1">
      <c r="AD945" t="s">
        <v>884</v>
      </c>
      <c r="AE945" t="s">
        <v>885</v>
      </c>
      <c r="AF945" t="str">
        <f t="shared" si="81"/>
        <v>A622125</v>
      </c>
      <c r="AG945" t="str">
        <f>VLOOKUP(AF945,AKT!$C$4:$E$324,3,FALSE)</f>
        <v>0150</v>
      </c>
    </row>
    <row r="946" spans="30:33" hidden="1">
      <c r="AD946" t="s">
        <v>886</v>
      </c>
      <c r="AE946" t="s">
        <v>887</v>
      </c>
      <c r="AF946" t="str">
        <f t="shared" si="81"/>
        <v>A622125</v>
      </c>
      <c r="AG946" t="str">
        <f>VLOOKUP(AF946,AKT!$C$4:$E$324,3,FALSE)</f>
        <v>0150</v>
      </c>
    </row>
    <row r="947" spans="30:33" hidden="1">
      <c r="AD947" t="s">
        <v>888</v>
      </c>
      <c r="AE947" t="s">
        <v>889</v>
      </c>
      <c r="AF947" t="str">
        <f t="shared" si="81"/>
        <v>A622125</v>
      </c>
      <c r="AG947" t="str">
        <f>VLOOKUP(AF947,AKT!$C$4:$E$324,3,FALSE)</f>
        <v>0150</v>
      </c>
    </row>
    <row r="948" spans="30:33" hidden="1">
      <c r="AD948" t="s">
        <v>890</v>
      </c>
      <c r="AE948" t="s">
        <v>891</v>
      </c>
      <c r="AF948" t="str">
        <f t="shared" si="81"/>
        <v>A622125</v>
      </c>
      <c r="AG948" t="str">
        <f>VLOOKUP(AF948,AKT!$C$4:$E$324,3,FALSE)</f>
        <v>0150</v>
      </c>
    </row>
    <row r="949" spans="30:33" hidden="1">
      <c r="AD949" t="s">
        <v>892</v>
      </c>
      <c r="AE949" t="s">
        <v>893</v>
      </c>
      <c r="AF949" t="str">
        <f t="shared" si="81"/>
        <v>A622125</v>
      </c>
      <c r="AG949" t="str">
        <f>VLOOKUP(AF949,AKT!$C$4:$E$324,3,FALSE)</f>
        <v>0150</v>
      </c>
    </row>
    <row r="950" spans="30:33" hidden="1">
      <c r="AD950" t="s">
        <v>894</v>
      </c>
      <c r="AE950" t="s">
        <v>895</v>
      </c>
      <c r="AF950" t="str">
        <f t="shared" si="81"/>
        <v>A622125</v>
      </c>
      <c r="AG950" t="str">
        <f>VLOOKUP(AF950,AKT!$C$4:$E$324,3,FALSE)</f>
        <v>0150</v>
      </c>
    </row>
    <row r="951" spans="30:33" hidden="1">
      <c r="AD951" t="s">
        <v>896</v>
      </c>
      <c r="AE951" t="s">
        <v>897</v>
      </c>
      <c r="AF951" t="str">
        <f t="shared" si="81"/>
        <v>A622125</v>
      </c>
      <c r="AG951" t="str">
        <f>VLOOKUP(AF951,AKT!$C$4:$E$324,3,FALSE)</f>
        <v>0150</v>
      </c>
    </row>
    <row r="952" spans="30:33" hidden="1">
      <c r="AD952" t="s">
        <v>898</v>
      </c>
      <c r="AE952" t="s">
        <v>899</v>
      </c>
      <c r="AF952" t="str">
        <f t="shared" si="81"/>
        <v>A622125</v>
      </c>
      <c r="AG952" t="str">
        <f>VLOOKUP(AF952,AKT!$C$4:$E$324,3,FALSE)</f>
        <v>0150</v>
      </c>
    </row>
    <row r="953" spans="30:33" hidden="1">
      <c r="AD953" t="s">
        <v>900</v>
      </c>
      <c r="AE953" t="s">
        <v>901</v>
      </c>
      <c r="AF953" t="str">
        <f t="shared" si="81"/>
        <v>A622125</v>
      </c>
      <c r="AG953" t="str">
        <f>VLOOKUP(AF953,AKT!$C$4:$E$324,3,FALSE)</f>
        <v>0150</v>
      </c>
    </row>
    <row r="954" spans="30:33" hidden="1">
      <c r="AD954" t="s">
        <v>902</v>
      </c>
      <c r="AE954" t="s">
        <v>903</v>
      </c>
      <c r="AF954" t="str">
        <f t="shared" si="81"/>
        <v>A622125</v>
      </c>
      <c r="AG954" t="str">
        <f>VLOOKUP(AF954,AKT!$C$4:$E$324,3,FALSE)</f>
        <v>0150</v>
      </c>
    </row>
    <row r="955" spans="30:33" hidden="1">
      <c r="AD955" t="s">
        <v>904</v>
      </c>
      <c r="AE955" t="s">
        <v>905</v>
      </c>
      <c r="AF955" t="str">
        <f t="shared" si="81"/>
        <v>A622125</v>
      </c>
      <c r="AG955" t="str">
        <f>VLOOKUP(AF955,AKT!$C$4:$E$324,3,FALSE)</f>
        <v>0150</v>
      </c>
    </row>
    <row r="956" spans="30:33" hidden="1">
      <c r="AD956" t="s">
        <v>906</v>
      </c>
      <c r="AE956" t="s">
        <v>907</v>
      </c>
      <c r="AF956" t="str">
        <f t="shared" si="81"/>
        <v>A622125</v>
      </c>
      <c r="AG956" t="str">
        <f>VLOOKUP(AF956,AKT!$C$4:$E$324,3,FALSE)</f>
        <v>0150</v>
      </c>
    </row>
    <row r="957" spans="30:33" hidden="1">
      <c r="AD957" t="s">
        <v>908</v>
      </c>
      <c r="AE957" t="s">
        <v>909</v>
      </c>
      <c r="AF957" t="str">
        <f t="shared" si="81"/>
        <v>A622125</v>
      </c>
      <c r="AG957" t="str">
        <f>VLOOKUP(AF957,AKT!$C$4:$E$324,3,FALSE)</f>
        <v>0150</v>
      </c>
    </row>
    <row r="958" spans="30:33" hidden="1">
      <c r="AD958" t="s">
        <v>910</v>
      </c>
      <c r="AE958" t="s">
        <v>911</v>
      </c>
      <c r="AF958" t="str">
        <f t="shared" si="81"/>
        <v>A622125</v>
      </c>
      <c r="AG958" t="str">
        <f>VLOOKUP(AF958,AKT!$C$4:$E$324,3,FALSE)</f>
        <v>0150</v>
      </c>
    </row>
    <row r="959" spans="30:33" hidden="1">
      <c r="AD959" t="s">
        <v>912</v>
      </c>
      <c r="AE959" t="s">
        <v>913</v>
      </c>
      <c r="AF959" t="str">
        <f t="shared" si="81"/>
        <v>A622125</v>
      </c>
      <c r="AG959" t="str">
        <f>VLOOKUP(AF959,AKT!$C$4:$E$324,3,FALSE)</f>
        <v>0150</v>
      </c>
    </row>
    <row r="960" spans="30:33" hidden="1">
      <c r="AD960" t="s">
        <v>914</v>
      </c>
      <c r="AE960" t="s">
        <v>915</v>
      </c>
      <c r="AF960" t="str">
        <f t="shared" si="81"/>
        <v>A622125</v>
      </c>
      <c r="AG960" t="str">
        <f>VLOOKUP(AF960,AKT!$C$4:$E$324,3,FALSE)</f>
        <v>0150</v>
      </c>
    </row>
    <row r="961" spans="30:33" hidden="1">
      <c r="AD961" t="s">
        <v>916</v>
      </c>
      <c r="AE961" t="s">
        <v>917</v>
      </c>
      <c r="AF961" t="str">
        <f t="shared" si="81"/>
        <v>A622125</v>
      </c>
      <c r="AG961" t="str">
        <f>VLOOKUP(AF961,AKT!$C$4:$E$324,3,FALSE)</f>
        <v>0150</v>
      </c>
    </row>
    <row r="962" spans="30:33" hidden="1">
      <c r="AD962" t="s">
        <v>918</v>
      </c>
      <c r="AE962" t="s">
        <v>919</v>
      </c>
      <c r="AF962" t="str">
        <f t="shared" si="81"/>
        <v>A622125</v>
      </c>
      <c r="AG962" t="str">
        <f>VLOOKUP(AF962,AKT!$C$4:$E$324,3,FALSE)</f>
        <v>0150</v>
      </c>
    </row>
    <row r="963" spans="30:33" hidden="1">
      <c r="AD963" t="s">
        <v>920</v>
      </c>
      <c r="AE963" t="s">
        <v>921</v>
      </c>
      <c r="AF963" t="str">
        <f t="shared" si="81"/>
        <v>A622125</v>
      </c>
      <c r="AG963" t="str">
        <f>VLOOKUP(AF963,AKT!$C$4:$E$324,3,FALSE)</f>
        <v>0150</v>
      </c>
    </row>
    <row r="964" spans="30:33" hidden="1">
      <c r="AD964" t="s">
        <v>922</v>
      </c>
      <c r="AE964" t="s">
        <v>923</v>
      </c>
      <c r="AF964" t="str">
        <f t="shared" si="81"/>
        <v>A622125</v>
      </c>
      <c r="AG964" t="str">
        <f>VLOOKUP(AF964,AKT!$C$4:$E$324,3,FALSE)</f>
        <v>0150</v>
      </c>
    </row>
    <row r="965" spans="30:33" hidden="1">
      <c r="AD965" t="s">
        <v>924</v>
      </c>
      <c r="AE965" t="s">
        <v>925</v>
      </c>
      <c r="AF965" t="str">
        <f t="shared" si="81"/>
        <v>A622125</v>
      </c>
      <c r="AG965" t="str">
        <f>VLOOKUP(AF965,AKT!$C$4:$E$324,3,FALSE)</f>
        <v>0150</v>
      </c>
    </row>
    <row r="966" spans="30:33" hidden="1">
      <c r="AD966" t="s">
        <v>926</v>
      </c>
      <c r="AE966" t="s">
        <v>927</v>
      </c>
      <c r="AF966" t="str">
        <f t="shared" si="81"/>
        <v>A622125</v>
      </c>
      <c r="AG966" t="str">
        <f>VLOOKUP(AF966,AKT!$C$4:$E$324,3,FALSE)</f>
        <v>0150</v>
      </c>
    </row>
    <row r="967" spans="30:33" hidden="1">
      <c r="AD967" t="s">
        <v>1569</v>
      </c>
      <c r="AE967" t="s">
        <v>1570</v>
      </c>
      <c r="AF967" t="str">
        <f t="shared" si="81"/>
        <v>A622125</v>
      </c>
      <c r="AG967" t="str">
        <f>VLOOKUP(AF967,AKT!$C$4:$E$324,3,FALSE)</f>
        <v>0150</v>
      </c>
    </row>
    <row r="968" spans="30:33" hidden="1">
      <c r="AD968" t="s">
        <v>1571</v>
      </c>
      <c r="AE968" t="s">
        <v>1572</v>
      </c>
      <c r="AF968" t="str">
        <f t="shared" ref="AF968:AF1031" si="82">LEFT(AD968,7)</f>
        <v>A622125</v>
      </c>
      <c r="AG968" t="str">
        <f>VLOOKUP(AF968,AKT!$C$4:$E$324,3,FALSE)</f>
        <v>0150</v>
      </c>
    </row>
    <row r="969" spans="30:33" hidden="1">
      <c r="AD969" t="s">
        <v>1573</v>
      </c>
      <c r="AE969" t="s">
        <v>1574</v>
      </c>
      <c r="AF969" t="str">
        <f t="shared" si="82"/>
        <v>A622125</v>
      </c>
      <c r="AG969" t="str">
        <f>VLOOKUP(AF969,AKT!$C$4:$E$324,3,FALSE)</f>
        <v>0150</v>
      </c>
    </row>
    <row r="970" spans="30:33" hidden="1">
      <c r="AD970" t="s">
        <v>1575</v>
      </c>
      <c r="AE970" t="s">
        <v>1576</v>
      </c>
      <c r="AF970" t="str">
        <f t="shared" si="82"/>
        <v>A622125</v>
      </c>
      <c r="AG970" t="str">
        <f>VLOOKUP(AF970,AKT!$C$4:$E$324,3,FALSE)</f>
        <v>0150</v>
      </c>
    </row>
    <row r="971" spans="30:33" hidden="1">
      <c r="AD971" t="s">
        <v>1577</v>
      </c>
      <c r="AE971" t="s">
        <v>1578</v>
      </c>
      <c r="AF971" t="str">
        <f t="shared" si="82"/>
        <v>A622125</v>
      </c>
      <c r="AG971" t="str">
        <f>VLOOKUP(AF971,AKT!$C$4:$E$324,3,FALSE)</f>
        <v>0150</v>
      </c>
    </row>
    <row r="972" spans="30:33" hidden="1">
      <c r="AD972" t="s">
        <v>1579</v>
      </c>
      <c r="AE972" t="s">
        <v>1580</v>
      </c>
      <c r="AF972" t="str">
        <f t="shared" si="82"/>
        <v>A622125</v>
      </c>
      <c r="AG972" t="str">
        <f>VLOOKUP(AF972,AKT!$C$4:$E$324,3,FALSE)</f>
        <v>0150</v>
      </c>
    </row>
    <row r="973" spans="30:33" hidden="1">
      <c r="AD973" t="s">
        <v>1581</v>
      </c>
      <c r="AE973" t="s">
        <v>1582</v>
      </c>
      <c r="AF973" t="str">
        <f t="shared" si="82"/>
        <v>A622125</v>
      </c>
      <c r="AG973" t="str">
        <f>VLOOKUP(AF973,AKT!$C$4:$E$324,3,FALSE)</f>
        <v>0150</v>
      </c>
    </row>
    <row r="974" spans="30:33" hidden="1">
      <c r="AD974" t="s">
        <v>1583</v>
      </c>
      <c r="AE974" t="s">
        <v>1584</v>
      </c>
      <c r="AF974" t="str">
        <f t="shared" si="82"/>
        <v>A622125</v>
      </c>
      <c r="AG974" t="str">
        <f>VLOOKUP(AF974,AKT!$C$4:$E$324,3,FALSE)</f>
        <v>0150</v>
      </c>
    </row>
    <row r="975" spans="30:33" hidden="1">
      <c r="AD975" t="s">
        <v>1585</v>
      </c>
      <c r="AE975" t="s">
        <v>1586</v>
      </c>
      <c r="AF975" t="str">
        <f t="shared" si="82"/>
        <v>A622125</v>
      </c>
      <c r="AG975" t="str">
        <f>VLOOKUP(AF975,AKT!$C$4:$E$324,3,FALSE)</f>
        <v>0150</v>
      </c>
    </row>
    <row r="976" spans="30:33" hidden="1">
      <c r="AD976" t="s">
        <v>1587</v>
      </c>
      <c r="AE976" t="s">
        <v>1588</v>
      </c>
      <c r="AF976" t="str">
        <f t="shared" si="82"/>
        <v>A622125</v>
      </c>
      <c r="AG976" t="str">
        <f>VLOOKUP(AF976,AKT!$C$4:$E$324,3,FALSE)</f>
        <v>0150</v>
      </c>
    </row>
    <row r="977" spans="30:33" hidden="1">
      <c r="AD977" t="s">
        <v>1589</v>
      </c>
      <c r="AE977" t="s">
        <v>1590</v>
      </c>
      <c r="AF977" t="str">
        <f t="shared" si="82"/>
        <v>A622125</v>
      </c>
      <c r="AG977" t="str">
        <f>VLOOKUP(AF977,AKT!$C$4:$E$324,3,FALSE)</f>
        <v>0150</v>
      </c>
    </row>
    <row r="978" spans="30:33" hidden="1">
      <c r="AD978" t="s">
        <v>1591</v>
      </c>
      <c r="AE978" t="s">
        <v>1592</v>
      </c>
      <c r="AF978" t="str">
        <f t="shared" si="82"/>
        <v>A622125</v>
      </c>
      <c r="AG978" t="str">
        <f>VLOOKUP(AF978,AKT!$C$4:$E$324,3,FALSE)</f>
        <v>0150</v>
      </c>
    </row>
    <row r="979" spans="30:33" hidden="1">
      <c r="AD979" t="s">
        <v>1593</v>
      </c>
      <c r="AE979" t="s">
        <v>1594</v>
      </c>
      <c r="AF979" t="str">
        <f t="shared" si="82"/>
        <v>A622125</v>
      </c>
      <c r="AG979" t="str">
        <f>VLOOKUP(AF979,AKT!$C$4:$E$324,3,FALSE)</f>
        <v>0150</v>
      </c>
    </row>
    <row r="980" spans="30:33" hidden="1">
      <c r="AD980" t="s">
        <v>1595</v>
      </c>
      <c r="AE980" t="s">
        <v>1596</v>
      </c>
      <c r="AF980" t="str">
        <f t="shared" si="82"/>
        <v>A622125</v>
      </c>
      <c r="AG980" t="str">
        <f>VLOOKUP(AF980,AKT!$C$4:$E$324,3,FALSE)</f>
        <v>0150</v>
      </c>
    </row>
    <row r="981" spans="30:33" hidden="1">
      <c r="AD981" t="s">
        <v>1597</v>
      </c>
      <c r="AE981" t="s">
        <v>1598</v>
      </c>
      <c r="AF981" t="str">
        <f t="shared" si="82"/>
        <v>A622125</v>
      </c>
      <c r="AG981" t="str">
        <f>VLOOKUP(AF981,AKT!$C$4:$E$324,3,FALSE)</f>
        <v>0150</v>
      </c>
    </row>
    <row r="982" spans="30:33" hidden="1">
      <c r="AD982" t="s">
        <v>1599</v>
      </c>
      <c r="AE982" t="s">
        <v>1600</v>
      </c>
      <c r="AF982" t="str">
        <f t="shared" si="82"/>
        <v>A622125</v>
      </c>
      <c r="AG982" t="str">
        <f>VLOOKUP(AF982,AKT!$C$4:$E$324,3,FALSE)</f>
        <v>0150</v>
      </c>
    </row>
    <row r="983" spans="30:33" hidden="1">
      <c r="AD983" t="s">
        <v>1601</v>
      </c>
      <c r="AE983" t="s">
        <v>1602</v>
      </c>
      <c r="AF983" t="str">
        <f t="shared" si="82"/>
        <v>A622125</v>
      </c>
      <c r="AG983" t="str">
        <f>VLOOKUP(AF983,AKT!$C$4:$E$324,3,FALSE)</f>
        <v>0150</v>
      </c>
    </row>
    <row r="984" spans="30:33" hidden="1">
      <c r="AD984" t="s">
        <v>1603</v>
      </c>
      <c r="AE984" t="s">
        <v>1604</v>
      </c>
      <c r="AF984" t="str">
        <f t="shared" si="82"/>
        <v>A622125</v>
      </c>
      <c r="AG984" t="str">
        <f>VLOOKUP(AF984,AKT!$C$4:$E$324,3,FALSE)</f>
        <v>0150</v>
      </c>
    </row>
    <row r="985" spans="30:33" hidden="1">
      <c r="AD985" t="s">
        <v>1605</v>
      </c>
      <c r="AE985" t="s">
        <v>1606</v>
      </c>
      <c r="AF985" t="str">
        <f t="shared" si="82"/>
        <v>A622125</v>
      </c>
      <c r="AG985" t="str">
        <f>VLOOKUP(AF985,AKT!$C$4:$E$324,3,FALSE)</f>
        <v>0150</v>
      </c>
    </row>
    <row r="986" spans="30:33" hidden="1">
      <c r="AD986" t="s">
        <v>1607</v>
      </c>
      <c r="AE986" t="s">
        <v>1608</v>
      </c>
      <c r="AF986" t="str">
        <f t="shared" si="82"/>
        <v>A622125</v>
      </c>
      <c r="AG986" t="str">
        <f>VLOOKUP(AF986,AKT!$C$4:$E$324,3,FALSE)</f>
        <v>0150</v>
      </c>
    </row>
    <row r="987" spans="30:33" hidden="1">
      <c r="AD987" t="s">
        <v>1609</v>
      </c>
      <c r="AE987" t="s">
        <v>1610</v>
      </c>
      <c r="AF987" t="str">
        <f t="shared" si="82"/>
        <v>A622125</v>
      </c>
      <c r="AG987" t="str">
        <f>VLOOKUP(AF987,AKT!$C$4:$E$324,3,FALSE)</f>
        <v>0150</v>
      </c>
    </row>
    <row r="988" spans="30:33" hidden="1">
      <c r="AD988" t="s">
        <v>1611</v>
      </c>
      <c r="AE988" t="s">
        <v>1612</v>
      </c>
      <c r="AF988" t="str">
        <f t="shared" si="82"/>
        <v>A622125</v>
      </c>
      <c r="AG988" t="str">
        <f>VLOOKUP(AF988,AKT!$C$4:$E$324,3,FALSE)</f>
        <v>0150</v>
      </c>
    </row>
    <row r="989" spans="30:33" hidden="1">
      <c r="AD989" t="s">
        <v>1613</v>
      </c>
      <c r="AE989" t="s">
        <v>1614</v>
      </c>
      <c r="AF989" t="str">
        <f t="shared" si="82"/>
        <v>A622125</v>
      </c>
      <c r="AG989" t="str">
        <f>VLOOKUP(AF989,AKT!$C$4:$E$324,3,FALSE)</f>
        <v>0150</v>
      </c>
    </row>
    <row r="990" spans="30:33" hidden="1">
      <c r="AD990" t="s">
        <v>2935</v>
      </c>
      <c r="AE990" t="s">
        <v>2936</v>
      </c>
      <c r="AF990" t="str">
        <f t="shared" si="82"/>
        <v>A622125</v>
      </c>
      <c r="AG990" t="str">
        <f>VLOOKUP(AF990,AKT!$C$4:$E$324,3,FALSE)</f>
        <v>0150</v>
      </c>
    </row>
    <row r="991" spans="30:33" hidden="1">
      <c r="AD991" t="s">
        <v>2937</v>
      </c>
      <c r="AE991" t="s">
        <v>2938</v>
      </c>
      <c r="AF991" t="str">
        <f t="shared" si="82"/>
        <v>A622125</v>
      </c>
      <c r="AG991" t="str">
        <f>VLOOKUP(AF991,AKT!$C$4:$E$324,3,FALSE)</f>
        <v>0150</v>
      </c>
    </row>
    <row r="992" spans="30:33" hidden="1">
      <c r="AD992" t="s">
        <v>2939</v>
      </c>
      <c r="AE992" t="s">
        <v>2940</v>
      </c>
      <c r="AF992" t="str">
        <f t="shared" si="82"/>
        <v>A622125</v>
      </c>
      <c r="AG992" t="str">
        <f>VLOOKUP(AF992,AKT!$C$4:$E$324,3,FALSE)</f>
        <v>0150</v>
      </c>
    </row>
    <row r="993" spans="30:33" hidden="1">
      <c r="AD993" t="s">
        <v>2941</v>
      </c>
      <c r="AE993" t="s">
        <v>2942</v>
      </c>
      <c r="AF993" t="str">
        <f t="shared" si="82"/>
        <v>A622125</v>
      </c>
      <c r="AG993" t="str">
        <f>VLOOKUP(AF993,AKT!$C$4:$E$324,3,FALSE)</f>
        <v>0150</v>
      </c>
    </row>
    <row r="994" spans="30:33" hidden="1">
      <c r="AD994" t="s">
        <v>2943</v>
      </c>
      <c r="AE994" t="s">
        <v>2944</v>
      </c>
      <c r="AF994" t="str">
        <f t="shared" si="82"/>
        <v>A622125</v>
      </c>
      <c r="AG994" t="str">
        <f>VLOOKUP(AF994,AKT!$C$4:$E$324,3,FALSE)</f>
        <v>0150</v>
      </c>
    </row>
    <row r="995" spans="30:33" hidden="1">
      <c r="AD995" t="s">
        <v>2945</v>
      </c>
      <c r="AE995" t="s">
        <v>2946</v>
      </c>
      <c r="AF995" t="str">
        <f t="shared" si="82"/>
        <v>A622125</v>
      </c>
      <c r="AG995" t="str">
        <f>VLOOKUP(AF995,AKT!$C$4:$E$324,3,FALSE)</f>
        <v>0150</v>
      </c>
    </row>
    <row r="996" spans="30:33" hidden="1">
      <c r="AD996" t="s">
        <v>2947</v>
      </c>
      <c r="AE996" t="s">
        <v>2948</v>
      </c>
      <c r="AF996" t="str">
        <f t="shared" si="82"/>
        <v>A622125</v>
      </c>
      <c r="AG996" t="str">
        <f>VLOOKUP(AF996,AKT!$C$4:$E$324,3,FALSE)</f>
        <v>0150</v>
      </c>
    </row>
    <row r="997" spans="30:33" hidden="1">
      <c r="AD997" t="s">
        <v>2949</v>
      </c>
      <c r="AE997" t="s">
        <v>2950</v>
      </c>
      <c r="AF997" t="str">
        <f t="shared" si="82"/>
        <v>A622125</v>
      </c>
      <c r="AG997" t="str">
        <f>VLOOKUP(AF997,AKT!$C$4:$E$324,3,FALSE)</f>
        <v>0150</v>
      </c>
    </row>
    <row r="998" spans="30:33" hidden="1">
      <c r="AD998" t="s">
        <v>2951</v>
      </c>
      <c r="AE998" t="s">
        <v>2952</v>
      </c>
      <c r="AF998" t="str">
        <f t="shared" si="82"/>
        <v>A622125</v>
      </c>
      <c r="AG998" t="str">
        <f>VLOOKUP(AF998,AKT!$C$4:$E$324,3,FALSE)</f>
        <v>0150</v>
      </c>
    </row>
    <row r="999" spans="30:33" hidden="1">
      <c r="AD999" t="s">
        <v>2953</v>
      </c>
      <c r="AE999" t="s">
        <v>2954</v>
      </c>
      <c r="AF999" t="str">
        <f t="shared" si="82"/>
        <v>A622125</v>
      </c>
      <c r="AG999" t="str">
        <f>VLOOKUP(AF999,AKT!$C$4:$E$324,3,FALSE)</f>
        <v>0150</v>
      </c>
    </row>
    <row r="1000" spans="30:33" hidden="1">
      <c r="AD1000" t="s">
        <v>2955</v>
      </c>
      <c r="AE1000" t="s">
        <v>2956</v>
      </c>
      <c r="AF1000" t="str">
        <f t="shared" si="82"/>
        <v>A622125</v>
      </c>
      <c r="AG1000" t="str">
        <f>VLOOKUP(AF1000,AKT!$C$4:$E$324,3,FALSE)</f>
        <v>0150</v>
      </c>
    </row>
    <row r="1001" spans="30:33" hidden="1">
      <c r="AD1001" t="s">
        <v>2957</v>
      </c>
      <c r="AE1001" t="s">
        <v>2958</v>
      </c>
      <c r="AF1001" t="str">
        <f t="shared" si="82"/>
        <v>A622125</v>
      </c>
      <c r="AG1001" t="str">
        <f>VLOOKUP(AF1001,AKT!$C$4:$E$324,3,FALSE)</f>
        <v>0150</v>
      </c>
    </row>
    <row r="1002" spans="30:33" hidden="1">
      <c r="AD1002" t="s">
        <v>2959</v>
      </c>
      <c r="AE1002" t="s">
        <v>2960</v>
      </c>
      <c r="AF1002" t="str">
        <f t="shared" si="82"/>
        <v>A622125</v>
      </c>
      <c r="AG1002" t="str">
        <f>VLOOKUP(AF1002,AKT!$C$4:$E$324,3,FALSE)</f>
        <v>0150</v>
      </c>
    </row>
    <row r="1003" spans="30:33" hidden="1">
      <c r="AD1003" t="s">
        <v>2961</v>
      </c>
      <c r="AE1003" t="s">
        <v>2962</v>
      </c>
      <c r="AF1003" t="str">
        <f t="shared" si="82"/>
        <v>A622125</v>
      </c>
      <c r="AG1003" t="str">
        <f>VLOOKUP(AF1003,AKT!$C$4:$E$324,3,FALSE)</f>
        <v>0150</v>
      </c>
    </row>
    <row r="1004" spans="30:33" hidden="1">
      <c r="AD1004" t="s">
        <v>2963</v>
      </c>
      <c r="AE1004" t="s">
        <v>2964</v>
      </c>
      <c r="AF1004" t="str">
        <f t="shared" si="82"/>
        <v>A622125</v>
      </c>
      <c r="AG1004" t="str">
        <f>VLOOKUP(AF1004,AKT!$C$4:$E$324,3,FALSE)</f>
        <v>0150</v>
      </c>
    </row>
    <row r="1005" spans="30:33" hidden="1">
      <c r="AD1005" t="s">
        <v>2965</v>
      </c>
      <c r="AE1005" t="s">
        <v>2966</v>
      </c>
      <c r="AF1005" t="str">
        <f t="shared" si="82"/>
        <v>A622125</v>
      </c>
      <c r="AG1005" t="str">
        <f>VLOOKUP(AF1005,AKT!$C$4:$E$324,3,FALSE)</f>
        <v>0150</v>
      </c>
    </row>
    <row r="1006" spans="30:33" hidden="1">
      <c r="AD1006" t="s">
        <v>2967</v>
      </c>
      <c r="AE1006" t="s">
        <v>2968</v>
      </c>
      <c r="AF1006" t="str">
        <f t="shared" si="82"/>
        <v>A622125</v>
      </c>
      <c r="AG1006" t="str">
        <f>VLOOKUP(AF1006,AKT!$C$4:$E$324,3,FALSE)</f>
        <v>0150</v>
      </c>
    </row>
    <row r="1007" spans="30:33" hidden="1">
      <c r="AD1007" t="s">
        <v>2969</v>
      </c>
      <c r="AE1007" t="s">
        <v>2970</v>
      </c>
      <c r="AF1007" t="str">
        <f t="shared" si="82"/>
        <v>A622125</v>
      </c>
      <c r="AG1007" t="str">
        <f>VLOOKUP(AF1007,AKT!$C$4:$E$324,3,FALSE)</f>
        <v>0150</v>
      </c>
    </row>
    <row r="1008" spans="30:33" hidden="1">
      <c r="AD1008" t="s">
        <v>2971</v>
      </c>
      <c r="AE1008" t="s">
        <v>2972</v>
      </c>
      <c r="AF1008" t="str">
        <f t="shared" si="82"/>
        <v>A622125</v>
      </c>
      <c r="AG1008" t="str">
        <f>VLOOKUP(AF1008,AKT!$C$4:$E$324,3,FALSE)</f>
        <v>0150</v>
      </c>
    </row>
    <row r="1009" spans="30:33" hidden="1">
      <c r="AD1009" t="s">
        <v>2973</v>
      </c>
      <c r="AE1009" t="s">
        <v>2974</v>
      </c>
      <c r="AF1009" t="str">
        <f t="shared" si="82"/>
        <v>A622125</v>
      </c>
      <c r="AG1009" t="str">
        <f>VLOOKUP(AF1009,AKT!$C$4:$E$324,3,FALSE)</f>
        <v>0150</v>
      </c>
    </row>
    <row r="1010" spans="30:33" hidden="1">
      <c r="AD1010" t="s">
        <v>2975</v>
      </c>
      <c r="AE1010" t="s">
        <v>2976</v>
      </c>
      <c r="AF1010" t="str">
        <f t="shared" si="82"/>
        <v>A622125</v>
      </c>
      <c r="AG1010" t="str">
        <f>VLOOKUP(AF1010,AKT!$C$4:$E$324,3,FALSE)</f>
        <v>0150</v>
      </c>
    </row>
    <row r="1011" spans="30:33" hidden="1">
      <c r="AD1011" t="s">
        <v>2977</v>
      </c>
      <c r="AE1011" t="s">
        <v>2978</v>
      </c>
      <c r="AF1011" t="str">
        <f t="shared" si="82"/>
        <v>A622125</v>
      </c>
      <c r="AG1011" t="str">
        <f>VLOOKUP(AF1011,AKT!$C$4:$E$324,3,FALSE)</f>
        <v>0150</v>
      </c>
    </row>
    <row r="1012" spans="30:33" hidden="1">
      <c r="AD1012" t="s">
        <v>2979</v>
      </c>
      <c r="AE1012" t="s">
        <v>2980</v>
      </c>
      <c r="AF1012" t="str">
        <f t="shared" si="82"/>
        <v>A622125</v>
      </c>
      <c r="AG1012" t="str">
        <f>VLOOKUP(AF1012,AKT!$C$4:$E$324,3,FALSE)</f>
        <v>0150</v>
      </c>
    </row>
    <row r="1013" spans="30:33" hidden="1">
      <c r="AD1013" t="s">
        <v>2981</v>
      </c>
      <c r="AE1013" t="s">
        <v>2982</v>
      </c>
      <c r="AF1013" t="str">
        <f t="shared" si="82"/>
        <v>A622125</v>
      </c>
      <c r="AG1013" t="str">
        <f>VLOOKUP(AF1013,AKT!$C$4:$E$324,3,FALSE)</f>
        <v>0150</v>
      </c>
    </row>
    <row r="1014" spans="30:33" hidden="1">
      <c r="AD1014" t="s">
        <v>2983</v>
      </c>
      <c r="AE1014" t="s">
        <v>2984</v>
      </c>
      <c r="AF1014" t="str">
        <f t="shared" si="82"/>
        <v>A622125</v>
      </c>
      <c r="AG1014" t="str">
        <f>VLOOKUP(AF1014,AKT!$C$4:$E$324,3,FALSE)</f>
        <v>0150</v>
      </c>
    </row>
    <row r="1015" spans="30:33" hidden="1">
      <c r="AD1015" t="s">
        <v>2985</v>
      </c>
      <c r="AE1015" t="s">
        <v>2986</v>
      </c>
      <c r="AF1015" t="str">
        <f t="shared" si="82"/>
        <v>A622125</v>
      </c>
      <c r="AG1015" t="str">
        <f>VLOOKUP(AF1015,AKT!$C$4:$E$324,3,FALSE)</f>
        <v>0150</v>
      </c>
    </row>
    <row r="1016" spans="30:33" hidden="1">
      <c r="AD1016" t="s">
        <v>2987</v>
      </c>
      <c r="AE1016" t="s">
        <v>3398</v>
      </c>
      <c r="AF1016" t="str">
        <f t="shared" si="82"/>
        <v>A622125</v>
      </c>
      <c r="AG1016" t="str">
        <f>VLOOKUP(AF1016,AKT!$C$4:$E$324,3,FALSE)</f>
        <v>0150</v>
      </c>
    </row>
    <row r="1017" spans="30:33" hidden="1">
      <c r="AD1017" t="s">
        <v>2988</v>
      </c>
      <c r="AE1017" t="s">
        <v>2989</v>
      </c>
      <c r="AF1017" t="str">
        <f t="shared" si="82"/>
        <v>A622125</v>
      </c>
      <c r="AG1017" t="str">
        <f>VLOOKUP(AF1017,AKT!$C$4:$E$324,3,FALSE)</f>
        <v>0150</v>
      </c>
    </row>
    <row r="1018" spans="30:33" hidden="1">
      <c r="AD1018" t="s">
        <v>2990</v>
      </c>
      <c r="AE1018" t="s">
        <v>2991</v>
      </c>
      <c r="AF1018" t="str">
        <f t="shared" si="82"/>
        <v>A622125</v>
      </c>
      <c r="AG1018" t="str">
        <f>VLOOKUP(AF1018,AKT!$C$4:$E$324,3,FALSE)</f>
        <v>0150</v>
      </c>
    </row>
    <row r="1019" spans="30:33" hidden="1">
      <c r="AD1019" t="s">
        <v>3399</v>
      </c>
      <c r="AE1019" t="s">
        <v>3400</v>
      </c>
      <c r="AF1019" t="str">
        <f t="shared" si="82"/>
        <v>A622125</v>
      </c>
      <c r="AG1019" t="str">
        <f>VLOOKUP(AF1019,AKT!$C$4:$E$324,3,FALSE)</f>
        <v>0150</v>
      </c>
    </row>
    <row r="1020" spans="30:33" hidden="1">
      <c r="AD1020" t="s">
        <v>2992</v>
      </c>
      <c r="AE1020" t="s">
        <v>2993</v>
      </c>
      <c r="AF1020" t="str">
        <f t="shared" si="82"/>
        <v>A622125</v>
      </c>
      <c r="AG1020" t="str">
        <f>VLOOKUP(AF1020,AKT!$C$4:$E$324,3,FALSE)</f>
        <v>0150</v>
      </c>
    </row>
    <row r="1021" spans="30:33" hidden="1">
      <c r="AD1021" t="s">
        <v>2994</v>
      </c>
      <c r="AE1021" t="s">
        <v>1594</v>
      </c>
      <c r="AF1021" t="str">
        <f t="shared" si="82"/>
        <v>A622125</v>
      </c>
      <c r="AG1021" t="str">
        <f>VLOOKUP(AF1021,AKT!$C$4:$E$324,3,FALSE)</f>
        <v>0150</v>
      </c>
    </row>
    <row r="1022" spans="30:33" hidden="1">
      <c r="AD1022" t="s">
        <v>2995</v>
      </c>
      <c r="AE1022" t="s">
        <v>2996</v>
      </c>
      <c r="AF1022" t="str">
        <f t="shared" si="82"/>
        <v>A622125</v>
      </c>
      <c r="AG1022" t="str">
        <f>VLOOKUP(AF1022,AKT!$C$4:$E$324,3,FALSE)</f>
        <v>0150</v>
      </c>
    </row>
    <row r="1023" spans="30:33" hidden="1">
      <c r="AD1023" t="s">
        <v>2997</v>
      </c>
      <c r="AE1023" t="s">
        <v>2998</v>
      </c>
      <c r="AF1023" t="str">
        <f t="shared" si="82"/>
        <v>A622125</v>
      </c>
      <c r="AG1023" t="str">
        <f>VLOOKUP(AF1023,AKT!$C$4:$E$324,3,FALSE)</f>
        <v>0150</v>
      </c>
    </row>
    <row r="1024" spans="30:33" hidden="1">
      <c r="AD1024" t="s">
        <v>3000</v>
      </c>
      <c r="AE1024" t="s">
        <v>3001</v>
      </c>
      <c r="AF1024" t="str">
        <f t="shared" si="82"/>
        <v>A622125</v>
      </c>
      <c r="AG1024" t="str">
        <f>VLOOKUP(AF1024,AKT!$C$4:$E$324,3,FALSE)</f>
        <v>0150</v>
      </c>
    </row>
    <row r="1025" spans="30:33" hidden="1">
      <c r="AD1025" t="s">
        <v>3002</v>
      </c>
      <c r="AE1025" t="s">
        <v>2991</v>
      </c>
      <c r="AF1025" t="str">
        <f t="shared" si="82"/>
        <v>A622125</v>
      </c>
      <c r="AG1025" t="str">
        <f>VLOOKUP(AF1025,AKT!$C$4:$E$324,3,FALSE)</f>
        <v>0150</v>
      </c>
    </row>
    <row r="1026" spans="30:33" hidden="1">
      <c r="AD1026" t="s">
        <v>3003</v>
      </c>
      <c r="AE1026" t="s">
        <v>2999</v>
      </c>
      <c r="AF1026" t="str">
        <f t="shared" si="82"/>
        <v>A622125</v>
      </c>
      <c r="AG1026" t="str">
        <f>VLOOKUP(AF1026,AKT!$C$4:$E$324,3,FALSE)</f>
        <v>0150</v>
      </c>
    </row>
    <row r="1027" spans="30:33" hidden="1">
      <c r="AD1027" t="s">
        <v>3004</v>
      </c>
      <c r="AE1027" t="s">
        <v>3005</v>
      </c>
      <c r="AF1027" t="str">
        <f t="shared" si="82"/>
        <v>A622125</v>
      </c>
      <c r="AG1027" t="str">
        <f>VLOOKUP(AF1027,AKT!$C$4:$E$324,3,FALSE)</f>
        <v>0150</v>
      </c>
    </row>
    <row r="1028" spans="30:33" hidden="1">
      <c r="AD1028" t="s">
        <v>3006</v>
      </c>
      <c r="AE1028" t="s">
        <v>3007</v>
      </c>
      <c r="AF1028" t="str">
        <f t="shared" si="82"/>
        <v>A622125</v>
      </c>
      <c r="AG1028" t="str">
        <f>VLOOKUP(AF1028,AKT!$C$4:$E$324,3,FALSE)</f>
        <v>0150</v>
      </c>
    </row>
    <row r="1029" spans="30:33" hidden="1">
      <c r="AD1029" t="s">
        <v>3008</v>
      </c>
      <c r="AE1029" t="s">
        <v>3009</v>
      </c>
      <c r="AF1029" t="str">
        <f t="shared" si="82"/>
        <v>A622125</v>
      </c>
      <c r="AG1029" t="str">
        <f>VLOOKUP(AF1029,AKT!$C$4:$E$324,3,FALSE)</f>
        <v>0150</v>
      </c>
    </row>
    <row r="1030" spans="30:33" hidden="1">
      <c r="AD1030" t="s">
        <v>3010</v>
      </c>
      <c r="AE1030" t="s">
        <v>3011</v>
      </c>
      <c r="AF1030" t="str">
        <f t="shared" si="82"/>
        <v>A622125</v>
      </c>
      <c r="AG1030" t="str">
        <f>VLOOKUP(AF1030,AKT!$C$4:$E$324,3,FALSE)</f>
        <v>0150</v>
      </c>
    </row>
    <row r="1031" spans="30:33" hidden="1">
      <c r="AD1031" t="s">
        <v>3012</v>
      </c>
      <c r="AE1031" t="s">
        <v>3013</v>
      </c>
      <c r="AF1031" t="str">
        <f t="shared" si="82"/>
        <v>A622125</v>
      </c>
      <c r="AG1031" t="str">
        <f>VLOOKUP(AF1031,AKT!$C$4:$E$324,3,FALSE)</f>
        <v>0150</v>
      </c>
    </row>
    <row r="1032" spans="30:33" hidden="1">
      <c r="AD1032" t="s">
        <v>3014</v>
      </c>
      <c r="AE1032" t="s">
        <v>3015</v>
      </c>
      <c r="AF1032" t="str">
        <f t="shared" ref="AF1032:AF1090" si="83">LEFT(AD1032,7)</f>
        <v>A622125</v>
      </c>
      <c r="AG1032" t="str">
        <f>VLOOKUP(AF1032,AKT!$C$4:$E$324,3,FALSE)</f>
        <v>0150</v>
      </c>
    </row>
    <row r="1033" spans="30:33" hidden="1">
      <c r="AD1033" t="s">
        <v>3016</v>
      </c>
      <c r="AE1033" t="s">
        <v>3017</v>
      </c>
      <c r="AF1033" t="str">
        <f t="shared" si="83"/>
        <v>A622125</v>
      </c>
      <c r="AG1033" t="str">
        <f>VLOOKUP(AF1033,AKT!$C$4:$E$324,3,FALSE)</f>
        <v>0150</v>
      </c>
    </row>
    <row r="1034" spans="30:33" hidden="1">
      <c r="AD1034" t="s">
        <v>3018</v>
      </c>
      <c r="AE1034" t="s">
        <v>3019</v>
      </c>
      <c r="AF1034" t="str">
        <f t="shared" si="83"/>
        <v>A622125</v>
      </c>
      <c r="AG1034" t="str">
        <f>VLOOKUP(AF1034,AKT!$C$4:$E$324,3,FALSE)</f>
        <v>0150</v>
      </c>
    </row>
    <row r="1035" spans="30:33" hidden="1">
      <c r="AD1035" t="s">
        <v>3401</v>
      </c>
      <c r="AE1035" t="s">
        <v>3402</v>
      </c>
      <c r="AF1035" t="str">
        <f t="shared" si="83"/>
        <v>A622125</v>
      </c>
      <c r="AG1035" t="str">
        <f>VLOOKUP(AF1035,AKT!$C$4:$E$324,3,FALSE)</f>
        <v>0150</v>
      </c>
    </row>
    <row r="1036" spans="30:33" hidden="1">
      <c r="AD1036" t="s">
        <v>3403</v>
      </c>
      <c r="AE1036" t="s">
        <v>3404</v>
      </c>
      <c r="AF1036" t="str">
        <f t="shared" si="83"/>
        <v>A622125</v>
      </c>
      <c r="AG1036" t="str">
        <f>VLOOKUP(AF1036,AKT!$C$4:$E$324,3,FALSE)</f>
        <v>0150</v>
      </c>
    </row>
    <row r="1037" spans="30:33" hidden="1">
      <c r="AD1037" t="s">
        <v>3405</v>
      </c>
      <c r="AE1037" t="s">
        <v>3406</v>
      </c>
      <c r="AF1037" t="str">
        <f t="shared" si="83"/>
        <v>A622125</v>
      </c>
      <c r="AG1037" t="str">
        <f>VLOOKUP(AF1037,AKT!$C$4:$E$324,3,FALSE)</f>
        <v>0150</v>
      </c>
    </row>
    <row r="1038" spans="30:33" hidden="1">
      <c r="AD1038" t="s">
        <v>3407</v>
      </c>
      <c r="AE1038" t="s">
        <v>3408</v>
      </c>
      <c r="AF1038" t="str">
        <f t="shared" si="83"/>
        <v>A622125</v>
      </c>
      <c r="AG1038" t="str">
        <f>VLOOKUP(AF1038,AKT!$C$4:$E$324,3,FALSE)</f>
        <v>0150</v>
      </c>
    </row>
    <row r="1039" spans="30:33" hidden="1">
      <c r="AD1039" t="s">
        <v>3409</v>
      </c>
      <c r="AE1039" t="s">
        <v>3410</v>
      </c>
      <c r="AF1039" t="str">
        <f t="shared" si="83"/>
        <v>A622125</v>
      </c>
      <c r="AG1039" t="str">
        <f>VLOOKUP(AF1039,AKT!$C$4:$E$324,3,FALSE)</f>
        <v>0150</v>
      </c>
    </row>
    <row r="1040" spans="30:33" hidden="1">
      <c r="AD1040" t="s">
        <v>3411</v>
      </c>
      <c r="AE1040" t="s">
        <v>3412</v>
      </c>
      <c r="AF1040" t="str">
        <f t="shared" si="83"/>
        <v>A622125</v>
      </c>
      <c r="AG1040" t="str">
        <f>VLOOKUP(AF1040,AKT!$C$4:$E$324,3,FALSE)</f>
        <v>0150</v>
      </c>
    </row>
    <row r="1041" spans="30:33" hidden="1">
      <c r="AD1041" t="s">
        <v>3413</v>
      </c>
      <c r="AE1041" t="s">
        <v>3414</v>
      </c>
      <c r="AF1041" t="str">
        <f t="shared" si="83"/>
        <v>A622125</v>
      </c>
      <c r="AG1041" t="str">
        <f>VLOOKUP(AF1041,AKT!$C$4:$E$324,3,FALSE)</f>
        <v>0150</v>
      </c>
    </row>
    <row r="1042" spans="30:33" hidden="1">
      <c r="AD1042" t="s">
        <v>3415</v>
      </c>
      <c r="AE1042" t="s">
        <v>3416</v>
      </c>
      <c r="AF1042" t="str">
        <f t="shared" si="83"/>
        <v>A622125</v>
      </c>
      <c r="AG1042" t="str">
        <f>VLOOKUP(AF1042,AKT!$C$4:$E$324,3,FALSE)</f>
        <v>0150</v>
      </c>
    </row>
    <row r="1043" spans="30:33" hidden="1">
      <c r="AD1043" t="s">
        <v>3417</v>
      </c>
      <c r="AE1043" t="s">
        <v>2813</v>
      </c>
      <c r="AF1043" t="str">
        <f t="shared" si="83"/>
        <v>A622125</v>
      </c>
      <c r="AG1043" t="str">
        <f>VLOOKUP(AF1043,AKT!$C$4:$E$324,3,FALSE)</f>
        <v>0150</v>
      </c>
    </row>
    <row r="1044" spans="30:33" hidden="1">
      <c r="AD1044" t="s">
        <v>3418</v>
      </c>
      <c r="AE1044" t="s">
        <v>3419</v>
      </c>
      <c r="AF1044" t="str">
        <f t="shared" si="83"/>
        <v>A622125</v>
      </c>
      <c r="AG1044" t="str">
        <f>VLOOKUP(AF1044,AKT!$C$4:$E$324,3,FALSE)</f>
        <v>0150</v>
      </c>
    </row>
    <row r="1045" spans="30:33" hidden="1">
      <c r="AD1045" t="s">
        <v>3420</v>
      </c>
      <c r="AE1045" t="s">
        <v>3421</v>
      </c>
      <c r="AF1045" t="str">
        <f t="shared" si="83"/>
        <v>A622125</v>
      </c>
      <c r="AG1045" t="str">
        <f>VLOOKUP(AF1045,AKT!$C$4:$E$324,3,FALSE)</f>
        <v>0150</v>
      </c>
    </row>
    <row r="1046" spans="30:33" hidden="1">
      <c r="AD1046" t="s">
        <v>3422</v>
      </c>
      <c r="AE1046" t="s">
        <v>3423</v>
      </c>
      <c r="AF1046" t="str">
        <f t="shared" si="83"/>
        <v>A622125</v>
      </c>
      <c r="AG1046" t="str">
        <f>VLOOKUP(AF1046,AKT!$C$4:$E$324,3,FALSE)</f>
        <v>0150</v>
      </c>
    </row>
    <row r="1047" spans="30:33" hidden="1">
      <c r="AD1047" t="s">
        <v>3424</v>
      </c>
      <c r="AE1047" t="s">
        <v>3425</v>
      </c>
      <c r="AF1047" t="str">
        <f t="shared" si="83"/>
        <v>A622125</v>
      </c>
      <c r="AG1047" t="str">
        <f>VLOOKUP(AF1047,AKT!$C$4:$E$324,3,FALSE)</f>
        <v>0150</v>
      </c>
    </row>
    <row r="1048" spans="30:33" hidden="1">
      <c r="AD1048" t="s">
        <v>3426</v>
      </c>
      <c r="AE1048" t="s">
        <v>3427</v>
      </c>
      <c r="AF1048" t="str">
        <f t="shared" si="83"/>
        <v>A622125</v>
      </c>
      <c r="AG1048" t="str">
        <f>VLOOKUP(AF1048,AKT!$C$4:$E$324,3,FALSE)</f>
        <v>0150</v>
      </c>
    </row>
    <row r="1049" spans="30:33" hidden="1">
      <c r="AD1049" t="s">
        <v>3428</v>
      </c>
      <c r="AE1049" t="s">
        <v>1267</v>
      </c>
      <c r="AF1049" t="str">
        <f t="shared" si="83"/>
        <v>A622125</v>
      </c>
      <c r="AG1049" t="str">
        <f>VLOOKUP(AF1049,AKT!$C$4:$E$324,3,FALSE)</f>
        <v>0150</v>
      </c>
    </row>
    <row r="1050" spans="30:33" hidden="1">
      <c r="AD1050" t="s">
        <v>3429</v>
      </c>
      <c r="AE1050" t="s">
        <v>3430</v>
      </c>
      <c r="AF1050" t="str">
        <f t="shared" si="83"/>
        <v>A622125</v>
      </c>
      <c r="AG1050" t="str">
        <f>VLOOKUP(AF1050,AKT!$C$4:$E$324,3,FALSE)</f>
        <v>0150</v>
      </c>
    </row>
    <row r="1051" spans="30:33" hidden="1">
      <c r="AD1051" t="s">
        <v>3431</v>
      </c>
      <c r="AE1051" t="s">
        <v>3432</v>
      </c>
      <c r="AF1051" t="str">
        <f t="shared" si="83"/>
        <v>A622125</v>
      </c>
      <c r="AG1051" t="str">
        <f>VLOOKUP(AF1051,AKT!$C$4:$E$324,3,FALSE)</f>
        <v>0150</v>
      </c>
    </row>
    <row r="1052" spans="30:33" hidden="1">
      <c r="AD1052" t="s">
        <v>3433</v>
      </c>
      <c r="AE1052" t="s">
        <v>3434</v>
      </c>
      <c r="AF1052" t="str">
        <f t="shared" si="83"/>
        <v>A622125</v>
      </c>
      <c r="AG1052" t="str">
        <f>VLOOKUP(AF1052,AKT!$C$4:$E$324,3,FALSE)</f>
        <v>0150</v>
      </c>
    </row>
    <row r="1053" spans="30:33" hidden="1">
      <c r="AD1053" t="s">
        <v>3435</v>
      </c>
      <c r="AE1053" t="s">
        <v>3436</v>
      </c>
      <c r="AF1053" t="str">
        <f t="shared" si="83"/>
        <v>A622125</v>
      </c>
      <c r="AG1053" t="str">
        <f>VLOOKUP(AF1053,AKT!$C$4:$E$324,3,FALSE)</f>
        <v>0150</v>
      </c>
    </row>
    <row r="1054" spans="30:33" hidden="1">
      <c r="AD1054" t="s">
        <v>3437</v>
      </c>
      <c r="AE1054" t="s">
        <v>3438</v>
      </c>
      <c r="AF1054" t="str">
        <f t="shared" si="83"/>
        <v>A622125</v>
      </c>
      <c r="AG1054" t="str">
        <f>VLOOKUP(AF1054,AKT!$C$4:$E$324,3,FALSE)</f>
        <v>0150</v>
      </c>
    </row>
    <row r="1055" spans="30:33" hidden="1">
      <c r="AD1055" t="s">
        <v>3439</v>
      </c>
      <c r="AE1055" t="s">
        <v>3440</v>
      </c>
      <c r="AF1055" t="str">
        <f t="shared" si="83"/>
        <v>A622125</v>
      </c>
      <c r="AG1055" t="str">
        <f>VLOOKUP(AF1055,AKT!$C$4:$E$324,3,FALSE)</f>
        <v>0150</v>
      </c>
    </row>
    <row r="1056" spans="30:33" hidden="1">
      <c r="AD1056" t="s">
        <v>3441</v>
      </c>
      <c r="AE1056" t="s">
        <v>3442</v>
      </c>
      <c r="AF1056" t="str">
        <f t="shared" si="83"/>
        <v>A622125</v>
      </c>
      <c r="AG1056" t="str">
        <f>VLOOKUP(AF1056,AKT!$C$4:$E$324,3,FALSE)</f>
        <v>0150</v>
      </c>
    </row>
    <row r="1057" spans="30:33" hidden="1">
      <c r="AD1057" t="s">
        <v>3443</v>
      </c>
      <c r="AE1057" t="s">
        <v>3444</v>
      </c>
      <c r="AF1057" t="str">
        <f t="shared" si="83"/>
        <v>A622125</v>
      </c>
      <c r="AG1057" t="str">
        <f>VLOOKUP(AF1057,AKT!$C$4:$E$324,3,FALSE)</f>
        <v>0150</v>
      </c>
    </row>
    <row r="1058" spans="30:33" hidden="1">
      <c r="AD1058" t="s">
        <v>3445</v>
      </c>
      <c r="AE1058" t="s">
        <v>3446</v>
      </c>
      <c r="AF1058" t="str">
        <f t="shared" si="83"/>
        <v>A622125</v>
      </c>
      <c r="AG1058" t="str">
        <f>VLOOKUP(AF1058,AKT!$C$4:$E$324,3,FALSE)</f>
        <v>0150</v>
      </c>
    </row>
    <row r="1059" spans="30:33" hidden="1">
      <c r="AD1059" t="s">
        <v>3447</v>
      </c>
      <c r="AE1059" t="s">
        <v>3276</v>
      </c>
      <c r="AF1059" t="str">
        <f t="shared" si="83"/>
        <v>A622125</v>
      </c>
      <c r="AG1059" t="str">
        <f>VLOOKUP(AF1059,AKT!$C$4:$E$324,3,FALSE)</f>
        <v>0150</v>
      </c>
    </row>
    <row r="1060" spans="30:33" hidden="1">
      <c r="AD1060" t="s">
        <v>3448</v>
      </c>
      <c r="AE1060" t="s">
        <v>3449</v>
      </c>
      <c r="AF1060" t="str">
        <f t="shared" si="83"/>
        <v>A622125</v>
      </c>
      <c r="AG1060" t="str">
        <f>VLOOKUP(AF1060,AKT!$C$4:$E$324,3,FALSE)</f>
        <v>0150</v>
      </c>
    </row>
    <row r="1061" spans="30:33" hidden="1">
      <c r="AD1061" t="s">
        <v>3450</v>
      </c>
      <c r="AE1061" t="s">
        <v>3451</v>
      </c>
      <c r="AF1061" t="str">
        <f t="shared" si="83"/>
        <v>A622125</v>
      </c>
      <c r="AG1061" t="str">
        <f>VLOOKUP(AF1061,AKT!$C$4:$E$324,3,FALSE)</f>
        <v>0150</v>
      </c>
    </row>
    <row r="1062" spans="30:33" hidden="1">
      <c r="AD1062" t="s">
        <v>3452</v>
      </c>
      <c r="AE1062" t="s">
        <v>3453</v>
      </c>
      <c r="AF1062" t="str">
        <f t="shared" si="83"/>
        <v>A622125</v>
      </c>
      <c r="AG1062" t="str">
        <f>VLOOKUP(AF1062,AKT!$C$4:$E$324,3,FALSE)</f>
        <v>0150</v>
      </c>
    </row>
    <row r="1063" spans="30:33" hidden="1">
      <c r="AD1063" t="s">
        <v>3454</v>
      </c>
      <c r="AE1063" t="s">
        <v>3455</v>
      </c>
      <c r="AF1063" t="str">
        <f t="shared" si="83"/>
        <v>A622125</v>
      </c>
      <c r="AG1063" t="str">
        <f>VLOOKUP(AF1063,AKT!$C$4:$E$324,3,FALSE)</f>
        <v>0150</v>
      </c>
    </row>
    <row r="1064" spans="30:33" hidden="1">
      <c r="AD1064" t="s">
        <v>3456</v>
      </c>
      <c r="AE1064" t="s">
        <v>3457</v>
      </c>
      <c r="AF1064" t="str">
        <f t="shared" si="83"/>
        <v>A622125</v>
      </c>
      <c r="AG1064" t="str">
        <f>VLOOKUP(AF1064,AKT!$C$4:$E$324,3,FALSE)</f>
        <v>0150</v>
      </c>
    </row>
    <row r="1065" spans="30:33" hidden="1">
      <c r="AD1065" t="s">
        <v>3458</v>
      </c>
      <c r="AE1065" t="s">
        <v>3459</v>
      </c>
      <c r="AF1065" t="str">
        <f t="shared" si="83"/>
        <v>A622125</v>
      </c>
      <c r="AG1065" t="str">
        <f>VLOOKUP(AF1065,AKT!$C$4:$E$324,3,FALSE)</f>
        <v>0150</v>
      </c>
    </row>
    <row r="1066" spans="30:33" hidden="1">
      <c r="AD1066" t="s">
        <v>3460</v>
      </c>
      <c r="AE1066" t="s">
        <v>1391</v>
      </c>
      <c r="AF1066" t="str">
        <f t="shared" si="83"/>
        <v>A622125</v>
      </c>
      <c r="AG1066" t="str">
        <f>VLOOKUP(AF1066,AKT!$C$4:$E$324,3,FALSE)</f>
        <v>0150</v>
      </c>
    </row>
    <row r="1067" spans="30:33" hidden="1">
      <c r="AD1067" t="s">
        <v>3461</v>
      </c>
      <c r="AE1067" t="s">
        <v>3462</v>
      </c>
      <c r="AF1067" t="str">
        <f t="shared" si="83"/>
        <v>A622125</v>
      </c>
      <c r="AG1067" t="str">
        <f>VLOOKUP(AF1067,AKT!$C$4:$E$324,3,FALSE)</f>
        <v>0150</v>
      </c>
    </row>
    <row r="1068" spans="30:33" hidden="1">
      <c r="AD1068" t="s">
        <v>928</v>
      </c>
      <c r="AE1068" t="s">
        <v>257</v>
      </c>
      <c r="AF1068" t="str">
        <f t="shared" si="83"/>
        <v>K622128</v>
      </c>
      <c r="AG1068" t="str">
        <f>VLOOKUP(AF1068,AKT!$C$4:$E$324,3,FALSE)</f>
        <v>0150</v>
      </c>
    </row>
    <row r="1069" spans="30:33" hidden="1">
      <c r="AD1069" t="s">
        <v>929</v>
      </c>
      <c r="AE1069" t="s">
        <v>258</v>
      </c>
      <c r="AF1069" t="str">
        <f t="shared" si="83"/>
        <v>K622128</v>
      </c>
      <c r="AG1069" t="str">
        <f>VLOOKUP(AF1069,AKT!$C$4:$E$324,3,FALSE)</f>
        <v>0150</v>
      </c>
    </row>
    <row r="1070" spans="30:33" hidden="1">
      <c r="AD1070" t="s">
        <v>930</v>
      </c>
      <c r="AE1070" t="s">
        <v>931</v>
      </c>
      <c r="AF1070" t="str">
        <f t="shared" si="83"/>
        <v>K622128</v>
      </c>
      <c r="AG1070" t="str">
        <f>VLOOKUP(AF1070,AKT!$C$4:$E$324,3,FALSE)</f>
        <v>0150</v>
      </c>
    </row>
    <row r="1071" spans="30:33" hidden="1">
      <c r="AD1071" t="s">
        <v>932</v>
      </c>
      <c r="AE1071" t="s">
        <v>869</v>
      </c>
      <c r="AF1071" t="str">
        <f t="shared" si="83"/>
        <v>K622128</v>
      </c>
      <c r="AG1071" t="str">
        <f>VLOOKUP(AF1071,AKT!$C$4:$E$324,3,FALSE)</f>
        <v>0150</v>
      </c>
    </row>
    <row r="1072" spans="30:33" hidden="1">
      <c r="AD1072" t="s">
        <v>1615</v>
      </c>
      <c r="AE1072" t="s">
        <v>1616</v>
      </c>
      <c r="AF1072" t="str">
        <f t="shared" si="83"/>
        <v>K622128</v>
      </c>
      <c r="AG1072" t="str">
        <f>VLOOKUP(AF1072,AKT!$C$4:$E$324,3,FALSE)</f>
        <v>0150</v>
      </c>
    </row>
    <row r="1073" spans="30:33" hidden="1">
      <c r="AD1073" t="s">
        <v>1617</v>
      </c>
      <c r="AE1073" t="s">
        <v>1172</v>
      </c>
      <c r="AF1073" t="str">
        <f t="shared" si="83"/>
        <v>K622128</v>
      </c>
      <c r="AG1073" t="str">
        <f>VLOOKUP(AF1073,AKT!$C$4:$E$324,3,FALSE)</f>
        <v>0150</v>
      </c>
    </row>
    <row r="1074" spans="30:33" hidden="1">
      <c r="AD1074" t="s">
        <v>3020</v>
      </c>
      <c r="AE1074" t="s">
        <v>2929</v>
      </c>
      <c r="AF1074" t="str">
        <f t="shared" si="83"/>
        <v>K622128</v>
      </c>
      <c r="AG1074" t="str">
        <f>VLOOKUP(AF1074,AKT!$C$4:$E$324,3,FALSE)</f>
        <v>0150</v>
      </c>
    </row>
    <row r="1075" spans="30:33" hidden="1">
      <c r="AD1075" t="s">
        <v>3463</v>
      </c>
      <c r="AE1075" t="s">
        <v>1179</v>
      </c>
      <c r="AF1075" t="str">
        <f t="shared" si="83"/>
        <v>K622128</v>
      </c>
      <c r="AG1075" t="str">
        <f>VLOOKUP(AF1075,AKT!$C$4:$E$324,3,FALSE)</f>
        <v>0150</v>
      </c>
    </row>
    <row r="1076" spans="30:33" hidden="1">
      <c r="AD1076" t="s">
        <v>1184</v>
      </c>
      <c r="AE1076" t="s">
        <v>1185</v>
      </c>
      <c r="AF1076" t="str">
        <f t="shared" si="83"/>
        <v>K628080</v>
      </c>
      <c r="AG1076" t="str">
        <f>VLOOKUP(AF1076,AKT!$C$4:$E$324,3,FALSE)</f>
        <v>0970</v>
      </c>
    </row>
    <row r="1077" spans="30:33" hidden="1">
      <c r="AD1077" t="s">
        <v>3464</v>
      </c>
      <c r="AE1077" t="s">
        <v>3465</v>
      </c>
      <c r="AF1077" t="str">
        <f t="shared" si="83"/>
        <v>K628080</v>
      </c>
      <c r="AG1077" t="str">
        <f>VLOOKUP(AF1077,AKT!$C$4:$E$324,3,FALSE)</f>
        <v>0970</v>
      </c>
    </row>
    <row r="1078" spans="30:33" hidden="1">
      <c r="AD1078" t="s">
        <v>1186</v>
      </c>
      <c r="AE1078" t="s">
        <v>1187</v>
      </c>
      <c r="AF1078" t="str">
        <f t="shared" si="83"/>
        <v>K628081</v>
      </c>
      <c r="AG1078" t="str">
        <f>VLOOKUP(AF1078,AKT!$C$4:$E$324,3,FALSE)</f>
        <v>0970</v>
      </c>
    </row>
    <row r="1079" spans="30:33" hidden="1">
      <c r="AD1079" t="s">
        <v>1188</v>
      </c>
      <c r="AE1079" t="s">
        <v>1189</v>
      </c>
      <c r="AF1079" t="str">
        <f t="shared" si="83"/>
        <v>K628081</v>
      </c>
      <c r="AG1079" t="str">
        <f>VLOOKUP(AF1079,AKT!$C$4:$E$324,3,FALSE)</f>
        <v>0970</v>
      </c>
    </row>
    <row r="1080" spans="30:33" hidden="1">
      <c r="AD1080" t="s">
        <v>3466</v>
      </c>
      <c r="AE1080" t="s">
        <v>3465</v>
      </c>
      <c r="AF1080" t="str">
        <f t="shared" si="83"/>
        <v>K628081</v>
      </c>
      <c r="AG1080" t="str">
        <f>VLOOKUP(AF1080,AKT!$C$4:$E$324,3,FALSE)</f>
        <v>0970</v>
      </c>
    </row>
    <row r="1081" spans="30:33" hidden="1">
      <c r="AD1081" t="s">
        <v>1190</v>
      </c>
      <c r="AE1081" t="s">
        <v>1191</v>
      </c>
      <c r="AF1081" t="str">
        <f t="shared" si="83"/>
        <v>K628087</v>
      </c>
      <c r="AG1081" t="str">
        <f>VLOOKUP(AF1081,AKT!$C$4:$E$324,3,FALSE)</f>
        <v>0133</v>
      </c>
    </row>
    <row r="1082" spans="30:33" hidden="1">
      <c r="AD1082" t="s">
        <v>1192</v>
      </c>
      <c r="AE1082" t="s">
        <v>1193</v>
      </c>
      <c r="AF1082" t="str">
        <f t="shared" si="83"/>
        <v>K628087</v>
      </c>
      <c r="AG1082" t="str">
        <f>VLOOKUP(AF1082,AKT!$C$4:$E$324,3,FALSE)</f>
        <v>0133</v>
      </c>
    </row>
    <row r="1083" spans="30:33" hidden="1">
      <c r="AD1083" t="s">
        <v>1194</v>
      </c>
      <c r="AE1083" t="s">
        <v>1195</v>
      </c>
      <c r="AF1083" t="str">
        <f t="shared" si="83"/>
        <v>K848038</v>
      </c>
      <c r="AG1083" t="str">
        <f>VLOOKUP(AF1083,AKT!$C$4:$E$324,3,FALSE)</f>
        <v>0950</v>
      </c>
    </row>
    <row r="1084" spans="30:33" hidden="1">
      <c r="AD1084" t="s">
        <v>1196</v>
      </c>
      <c r="AE1084" t="s">
        <v>1197</v>
      </c>
      <c r="AF1084" t="str">
        <f t="shared" si="83"/>
        <v>K848038</v>
      </c>
      <c r="AG1084" t="str">
        <f>VLOOKUP(AF1084,AKT!$C$4:$E$324,3,FALSE)</f>
        <v>0950</v>
      </c>
    </row>
    <row r="1085" spans="30:33" hidden="1">
      <c r="AD1085" t="s">
        <v>1198</v>
      </c>
      <c r="AE1085" t="s">
        <v>1199</v>
      </c>
      <c r="AF1085" t="str">
        <f t="shared" si="83"/>
        <v>K848038</v>
      </c>
      <c r="AG1085" t="str">
        <f>VLOOKUP(AF1085,AKT!$C$4:$E$324,3,FALSE)</f>
        <v>0950</v>
      </c>
    </row>
    <row r="1086" spans="30:33" hidden="1">
      <c r="AD1086" t="s">
        <v>1200</v>
      </c>
      <c r="AE1086" t="s">
        <v>1201</v>
      </c>
      <c r="AF1086" t="str">
        <f t="shared" si="83"/>
        <v>K848038</v>
      </c>
      <c r="AG1086" t="str">
        <f>VLOOKUP(AF1086,AKT!$C$4:$E$324,3,FALSE)</f>
        <v>0950</v>
      </c>
    </row>
    <row r="1087" spans="30:33" hidden="1">
      <c r="AD1087" t="s">
        <v>1202</v>
      </c>
      <c r="AE1087" t="s">
        <v>1203</v>
      </c>
      <c r="AF1087" t="str">
        <f t="shared" si="83"/>
        <v>K848038</v>
      </c>
      <c r="AG1087" t="str">
        <f>VLOOKUP(AF1087,AKT!$C$4:$E$324,3,FALSE)</f>
        <v>0950</v>
      </c>
    </row>
    <row r="1088" spans="30:33" hidden="1">
      <c r="AD1088" t="s">
        <v>1204</v>
      </c>
      <c r="AE1088" t="s">
        <v>1205</v>
      </c>
      <c r="AF1088" t="str">
        <f t="shared" si="83"/>
        <v>K848038</v>
      </c>
      <c r="AG1088" t="str">
        <f>VLOOKUP(AF1088,AKT!$C$4:$E$324,3,FALSE)</f>
        <v>0950</v>
      </c>
    </row>
    <row r="1089" spans="30:33" hidden="1">
      <c r="AD1089" t="s">
        <v>3470</v>
      </c>
      <c r="AE1089" t="s">
        <v>1154</v>
      </c>
      <c r="AF1089" t="str">
        <f t="shared" si="83"/>
        <v>K733069</v>
      </c>
      <c r="AG1089" t="str">
        <f>VLOOKUP(AF1089,AKT!$C$4:$E$324,3,FALSE)</f>
        <v>0150</v>
      </c>
    </row>
    <row r="1090" spans="30:33" hidden="1">
      <c r="AD1090" t="s">
        <v>3471</v>
      </c>
      <c r="AE1090" t="s">
        <v>1156</v>
      </c>
      <c r="AF1090" t="str">
        <f t="shared" si="83"/>
        <v>K733069</v>
      </c>
      <c r="AG1090" t="str">
        <f>VLOOKUP(AF1090,AKT!$C$4:$E$324,3,FALSE)</f>
        <v>0150</v>
      </c>
    </row>
  </sheetData>
  <sheetProtection algorithmName="SHA-512" hashValue="kDh+lNOIOY/IOUK5O+1awvmmSouwb9XBj9VTzCRXRWwcCnEUNFQ4lvny6+Pe/dZ/nZiKkpq6NiM1Yxtx/sr2bQ==" saltValue="OIf7ipE7C/NPfKWXWQKRRA==" spinCount="100000" sheet="1" selectLockedCells="1"/>
  <sortState xmlns:xlrd2="http://schemas.microsoft.com/office/spreadsheetml/2017/richdata2" ref="AD7:AE239">
    <sortCondition ref="AD7"/>
  </sortState>
  <mergeCells count="1">
    <mergeCell ref="A1:B1"/>
  </mergeCells>
  <conditionalFormatting sqref="P3:P501">
    <cfRule type="expression" dxfId="0" priority="1">
      <formula>IF(OR(C3=3691,C3=3692,C3=3693,C3=3694),1,0)</formula>
    </cfRule>
  </conditionalFormatting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$X$5:$X$129</formula1>
    </dataValidation>
    <dataValidation type="whole" allowBlank="1" showInputMessage="1" showErrorMessage="1" errorTitle="GREŠKA" error="U ovo polje je dozvoljen unos samo brojčanih vrijednosti (bez decimala!)" sqref="H3:J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7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4000000}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38"/>
  <sheetViews>
    <sheetView zoomScale="80" zoomScaleNormal="80" workbookViewId="0">
      <selection activeCell="I5" sqref="I5"/>
    </sheetView>
  </sheetViews>
  <sheetFormatPr defaultColWidth="11.42578125" defaultRowHeight="12.75"/>
  <cols>
    <col min="1" max="1" width="7.140625" style="1" customWidth="1"/>
    <col min="2" max="2" width="4.85546875" style="1" customWidth="1"/>
    <col min="3" max="3" width="43.140625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3" ht="15.6" customHeight="1"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</row>
    <row r="2" spans="1:23" ht="21" customHeight="1">
      <c r="B2" s="304" t="s">
        <v>5265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</row>
    <row r="3" spans="1:23" s="41" customFormat="1" ht="15">
      <c r="B3" s="40"/>
      <c r="C3" s="40"/>
      <c r="D3" s="40"/>
      <c r="S3" s="42"/>
      <c r="W3" s="185" t="s">
        <v>5269</v>
      </c>
    </row>
    <row r="4" spans="1:23" s="41" customFormat="1" ht="89.25">
      <c r="A4" s="284" t="s">
        <v>1710</v>
      </c>
      <c r="B4" s="43" t="s">
        <v>237</v>
      </c>
      <c r="C4" s="43" t="s">
        <v>238</v>
      </c>
      <c r="D4" s="181" t="s">
        <v>239</v>
      </c>
      <c r="E4" s="142" t="s">
        <v>260</v>
      </c>
      <c r="F4" s="142" t="s">
        <v>251</v>
      </c>
      <c r="G4" s="142" t="s">
        <v>16</v>
      </c>
      <c r="H4" s="142" t="s">
        <v>1230</v>
      </c>
      <c r="I4" s="142" t="s">
        <v>17</v>
      </c>
      <c r="J4" s="142" t="s">
        <v>240</v>
      </c>
      <c r="K4" s="142" t="s">
        <v>241</v>
      </c>
      <c r="L4" s="142" t="s">
        <v>1231</v>
      </c>
      <c r="M4" s="142" t="s">
        <v>242</v>
      </c>
      <c r="N4" s="142" t="s">
        <v>243</v>
      </c>
      <c r="O4" s="142" t="s">
        <v>244</v>
      </c>
      <c r="P4" s="142" t="s">
        <v>1232</v>
      </c>
      <c r="Q4" s="142" t="s">
        <v>1233</v>
      </c>
      <c r="R4" s="142" t="s">
        <v>1708</v>
      </c>
      <c r="S4" s="2" t="s">
        <v>3021</v>
      </c>
      <c r="T4" s="142" t="s">
        <v>245</v>
      </c>
      <c r="U4" s="2" t="s">
        <v>246</v>
      </c>
      <c r="V4" s="2" t="s">
        <v>250</v>
      </c>
      <c r="W4" s="2" t="s">
        <v>1206</v>
      </c>
    </row>
    <row r="5" spans="1:23" s="41" customFormat="1" ht="19.5" customHeight="1">
      <c r="A5" s="285">
        <v>2023</v>
      </c>
      <c r="B5" s="44"/>
      <c r="C5" s="45" t="s">
        <v>11</v>
      </c>
      <c r="D5" s="30">
        <f>SUM(E5:W5)</f>
        <v>654648</v>
      </c>
      <c r="E5" s="3"/>
      <c r="F5" s="3"/>
      <c r="G5" s="3"/>
      <c r="H5" s="3"/>
      <c r="I5" s="3">
        <v>654648</v>
      </c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23" s="41" customFormat="1">
      <c r="A6" s="285">
        <v>2023</v>
      </c>
      <c r="B6" s="63"/>
      <c r="C6" s="64" t="s">
        <v>5264</v>
      </c>
      <c r="D6" s="30">
        <f>SUM(E6:W6)</f>
        <v>16879629</v>
      </c>
      <c r="E6" s="12">
        <f>+'A.1 PRIHODI'!E8</f>
        <v>7198532</v>
      </c>
      <c r="F6" s="12">
        <f>+'A.1 PRIHODI'!F8</f>
        <v>0</v>
      </c>
      <c r="G6" s="12">
        <f>+'A.1 PRIHODI'!G8</f>
        <v>291990</v>
      </c>
      <c r="H6" s="12">
        <f>+'A.1 PRIHODI'!H8</f>
        <v>0</v>
      </c>
      <c r="I6" s="12">
        <f>+'A.1 PRIHODI'!I8+'B. RAČUN FIN'!I6</f>
        <v>882282</v>
      </c>
      <c r="J6" s="12">
        <f>+'A.1 PRIHODI'!J8</f>
        <v>73860</v>
      </c>
      <c r="K6" s="12">
        <f>+'A.1 PRIHODI'!K8</f>
        <v>130922</v>
      </c>
      <c r="L6" s="12">
        <f>+'A.1 PRIHODI'!L8</f>
        <v>0</v>
      </c>
      <c r="M6" s="12">
        <f>+'A.1 PRIHODI'!M8</f>
        <v>0</v>
      </c>
      <c r="N6" s="12">
        <f>+'A.1 PRIHODI'!N8</f>
        <v>0</v>
      </c>
      <c r="O6" s="12">
        <f>+'A.1 PRIHODI'!O8</f>
        <v>0</v>
      </c>
      <c r="P6" s="12">
        <f>+'A.1 PRIHODI'!P8</f>
        <v>0</v>
      </c>
      <c r="Q6" s="12">
        <f>+'A.1 PRIHODI'!Q8</f>
        <v>0</v>
      </c>
      <c r="R6" s="12">
        <f>+'A.1 PRIHODI'!R8</f>
        <v>5003386</v>
      </c>
      <c r="S6" s="12">
        <f>+'A.1 PRIHODI'!S8</f>
        <v>3298657</v>
      </c>
      <c r="T6" s="12">
        <f>+'A.1 PRIHODI'!T8</f>
        <v>0</v>
      </c>
      <c r="U6" s="12">
        <f>+'A.1 PRIHODI'!U8</f>
        <v>0</v>
      </c>
      <c r="V6" s="12">
        <f>+'A.1 PRIHODI'!V8</f>
        <v>0</v>
      </c>
      <c r="W6" s="12">
        <f>+'B. RAČUN FIN'!W6</f>
        <v>0</v>
      </c>
    </row>
    <row r="7" spans="1:23" s="41" customFormat="1" ht="21.75" customHeight="1">
      <c r="A7" s="285">
        <v>2023</v>
      </c>
      <c r="B7" s="140"/>
      <c r="C7" s="45" t="s">
        <v>5195</v>
      </c>
      <c r="D7" s="30">
        <f t="shared" ref="D7:D9" si="0">SUM(E7:W7)</f>
        <v>0</v>
      </c>
      <c r="E7" s="182"/>
      <c r="F7" s="182"/>
      <c r="G7" s="182"/>
      <c r="H7" s="182"/>
      <c r="I7" s="182"/>
      <c r="J7" s="182"/>
      <c r="K7" s="182"/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2"/>
      <c r="W7" s="182"/>
    </row>
    <row r="8" spans="1:23" s="41" customFormat="1">
      <c r="A8" s="285">
        <v>2023</v>
      </c>
      <c r="B8" s="63"/>
      <c r="C8" s="64" t="s">
        <v>5266</v>
      </c>
      <c r="D8" s="30">
        <f t="shared" si="0"/>
        <v>17534277</v>
      </c>
      <c r="E8" s="12">
        <f>+E5+E6+E7</f>
        <v>7198532</v>
      </c>
      <c r="F8" s="12">
        <f t="shared" ref="F8:W8" si="1">+F5+F6+F7</f>
        <v>0</v>
      </c>
      <c r="G8" s="12">
        <f t="shared" si="1"/>
        <v>291990</v>
      </c>
      <c r="H8" s="12">
        <f t="shared" si="1"/>
        <v>0</v>
      </c>
      <c r="I8" s="12">
        <f t="shared" si="1"/>
        <v>1536930</v>
      </c>
      <c r="J8" s="12">
        <f t="shared" si="1"/>
        <v>73860</v>
      </c>
      <c r="K8" s="12">
        <f t="shared" si="1"/>
        <v>130922</v>
      </c>
      <c r="L8" s="12">
        <f t="shared" si="1"/>
        <v>0</v>
      </c>
      <c r="M8" s="12">
        <f t="shared" si="1"/>
        <v>0</v>
      </c>
      <c r="N8" s="12">
        <f t="shared" si="1"/>
        <v>0</v>
      </c>
      <c r="O8" s="12">
        <f t="shared" si="1"/>
        <v>0</v>
      </c>
      <c r="P8" s="12">
        <f t="shared" si="1"/>
        <v>0</v>
      </c>
      <c r="Q8" s="12">
        <f t="shared" si="1"/>
        <v>0</v>
      </c>
      <c r="R8" s="12">
        <f t="shared" si="1"/>
        <v>5003386</v>
      </c>
      <c r="S8" s="12">
        <f t="shared" si="1"/>
        <v>3298657</v>
      </c>
      <c r="T8" s="12">
        <f t="shared" si="1"/>
        <v>0</v>
      </c>
      <c r="U8" s="12">
        <f t="shared" si="1"/>
        <v>0</v>
      </c>
      <c r="V8" s="12">
        <f t="shared" si="1"/>
        <v>0</v>
      </c>
      <c r="W8" s="12">
        <f t="shared" si="1"/>
        <v>0</v>
      </c>
    </row>
    <row r="9" spans="1:23" s="41" customFormat="1">
      <c r="A9" s="285">
        <v>2023</v>
      </c>
      <c r="B9" s="60"/>
      <c r="C9" s="61" t="s">
        <v>5267</v>
      </c>
      <c r="D9" s="30">
        <f t="shared" si="0"/>
        <v>17534277</v>
      </c>
      <c r="E9" s="79">
        <f>+'A.2 RASHODI'!E4+'B. RAČUN FIN'!E11</f>
        <v>7198532</v>
      </c>
      <c r="F9" s="79">
        <f>+'A.2 RASHODI'!F4+'B. RAČUN FIN'!F11</f>
        <v>0</v>
      </c>
      <c r="G9" s="79">
        <f>+'A.2 RASHODI'!G4+'B. RAČUN FIN'!G11</f>
        <v>291990</v>
      </c>
      <c r="H9" s="79">
        <f>+'A.2 RASHODI'!H4+'B. RAČUN FIN'!H11</f>
        <v>0</v>
      </c>
      <c r="I9" s="79">
        <f>+'A.2 RASHODI'!I4+'B. RAČUN FIN'!I11</f>
        <v>1536930</v>
      </c>
      <c r="J9" s="79">
        <f>+'A.2 RASHODI'!J4+'B. RAČUN FIN'!J11</f>
        <v>73860</v>
      </c>
      <c r="K9" s="79">
        <f>+'A.2 RASHODI'!K4+'B. RAČUN FIN'!K11</f>
        <v>130922</v>
      </c>
      <c r="L9" s="79">
        <f>+'A.2 RASHODI'!L4+'B. RAČUN FIN'!L11</f>
        <v>0</v>
      </c>
      <c r="M9" s="79">
        <f>+'A.2 RASHODI'!M4+'B. RAČUN FIN'!M11</f>
        <v>0</v>
      </c>
      <c r="N9" s="79">
        <f>+'A.2 RASHODI'!N4+'B. RAČUN FIN'!N11</f>
        <v>0</v>
      </c>
      <c r="O9" s="79">
        <f>+'A.2 RASHODI'!O4+'B. RAČUN FIN'!O11</f>
        <v>0</v>
      </c>
      <c r="P9" s="79">
        <f>+'A.2 RASHODI'!P4+'B. RAČUN FIN'!P11</f>
        <v>0</v>
      </c>
      <c r="Q9" s="79">
        <f>+'A.2 RASHODI'!Q4+'B. RAČUN FIN'!Q11</f>
        <v>0</v>
      </c>
      <c r="R9" s="79">
        <f>+'A.2 RASHODI'!R4+'B. RAČUN FIN'!R11</f>
        <v>5003386</v>
      </c>
      <c r="S9" s="79">
        <f>+'A.2 RASHODI'!S4+'B. RAČUN FIN'!S11</f>
        <v>3298657</v>
      </c>
      <c r="T9" s="79">
        <f>+'A.2 RASHODI'!T4+'B. RAČUN FIN'!T11</f>
        <v>0</v>
      </c>
      <c r="U9" s="79">
        <f>+'A.2 RASHODI'!U4+'B. RAČUN FIN'!U11</f>
        <v>0</v>
      </c>
      <c r="V9" s="79">
        <f>+'A.2 RASHODI'!V4+'B. RAČUN FIN'!V11</f>
        <v>0</v>
      </c>
      <c r="W9" s="79">
        <f>+'A.2 RASHODI'!W4+'B. RAČUN FIN'!W11</f>
        <v>0</v>
      </c>
    </row>
    <row r="10" spans="1:23" s="41" customFormat="1" ht="20.25" customHeight="1">
      <c r="A10" s="285">
        <v>2023</v>
      </c>
      <c r="B10" s="254"/>
      <c r="C10" s="254" t="s">
        <v>5275</v>
      </c>
      <c r="D10" s="66">
        <f>SUM(E10:W10)</f>
        <v>0</v>
      </c>
      <c r="E10" s="66">
        <f>+E8-E9</f>
        <v>0</v>
      </c>
      <c r="F10" s="66">
        <f t="shared" ref="F10:W10" si="2">+F8-F9</f>
        <v>0</v>
      </c>
      <c r="G10" s="66">
        <f>+G8-G9</f>
        <v>0</v>
      </c>
      <c r="H10" s="66">
        <f t="shared" si="2"/>
        <v>0</v>
      </c>
      <c r="I10" s="66">
        <f t="shared" si="2"/>
        <v>0</v>
      </c>
      <c r="J10" s="66">
        <f t="shared" si="2"/>
        <v>0</v>
      </c>
      <c r="K10" s="66">
        <f t="shared" si="2"/>
        <v>0</v>
      </c>
      <c r="L10" s="66">
        <f t="shared" si="2"/>
        <v>0</v>
      </c>
      <c r="M10" s="66">
        <f t="shared" si="2"/>
        <v>0</v>
      </c>
      <c r="N10" s="66">
        <f t="shared" si="2"/>
        <v>0</v>
      </c>
      <c r="O10" s="66">
        <f t="shared" si="2"/>
        <v>0</v>
      </c>
      <c r="P10" s="66">
        <f t="shared" si="2"/>
        <v>0</v>
      </c>
      <c r="Q10" s="66">
        <f t="shared" si="2"/>
        <v>0</v>
      </c>
      <c r="R10" s="66">
        <f t="shared" si="2"/>
        <v>0</v>
      </c>
      <c r="S10" s="66">
        <f t="shared" si="2"/>
        <v>0</v>
      </c>
      <c r="T10" s="66">
        <f t="shared" si="2"/>
        <v>0</v>
      </c>
      <c r="U10" s="66">
        <f t="shared" si="2"/>
        <v>0</v>
      </c>
      <c r="V10" s="66">
        <f t="shared" si="2"/>
        <v>0</v>
      </c>
      <c r="W10" s="66">
        <f t="shared" si="2"/>
        <v>0</v>
      </c>
    </row>
    <row r="11" spans="1:23">
      <c r="B11" s="23"/>
      <c r="C11" s="23"/>
      <c r="D11" s="23"/>
      <c r="E11" s="23"/>
      <c r="F11" s="23"/>
      <c r="G11" s="23"/>
      <c r="H11" s="23"/>
      <c r="I11" s="52"/>
      <c r="J11" s="53"/>
      <c r="K11" s="53"/>
      <c r="L11" s="53"/>
      <c r="M11" s="53"/>
      <c r="N11" s="53"/>
      <c r="O11" s="53"/>
      <c r="P11" s="53"/>
      <c r="Q11" s="53"/>
      <c r="R11" s="53"/>
      <c r="S11" s="42"/>
      <c r="W11" s="42"/>
    </row>
    <row r="12" spans="1:23" s="41" customFormat="1" ht="89.25">
      <c r="A12" s="284" t="s">
        <v>1710</v>
      </c>
      <c r="B12" s="43" t="s">
        <v>237</v>
      </c>
      <c r="C12" s="43" t="s">
        <v>238</v>
      </c>
      <c r="D12" s="181" t="s">
        <v>239</v>
      </c>
      <c r="E12" s="142" t="s">
        <v>260</v>
      </c>
      <c r="F12" s="142" t="s">
        <v>251</v>
      </c>
      <c r="G12" s="142" t="s">
        <v>16</v>
      </c>
      <c r="H12" s="142" t="s">
        <v>1230</v>
      </c>
      <c r="I12" s="142" t="s">
        <v>17</v>
      </c>
      <c r="J12" s="142" t="s">
        <v>240</v>
      </c>
      <c r="K12" s="142" t="s">
        <v>241</v>
      </c>
      <c r="L12" s="142" t="s">
        <v>1231</v>
      </c>
      <c r="M12" s="142" t="s">
        <v>242</v>
      </c>
      <c r="N12" s="142" t="s">
        <v>243</v>
      </c>
      <c r="O12" s="142" t="s">
        <v>244</v>
      </c>
      <c r="P12" s="142" t="s">
        <v>1232</v>
      </c>
      <c r="Q12" s="142" t="s">
        <v>1233</v>
      </c>
      <c r="R12" s="142" t="s">
        <v>1708</v>
      </c>
      <c r="S12" s="2" t="s">
        <v>3021</v>
      </c>
      <c r="T12" s="142" t="s">
        <v>245</v>
      </c>
      <c r="U12" s="2" t="s">
        <v>246</v>
      </c>
      <c r="V12" s="2" t="s">
        <v>250</v>
      </c>
      <c r="W12" s="2" t="s">
        <v>1206</v>
      </c>
    </row>
    <row r="13" spans="1:23" s="41" customFormat="1">
      <c r="A13" s="285">
        <v>2024</v>
      </c>
      <c r="B13" s="44"/>
      <c r="C13" s="45" t="s">
        <v>11</v>
      </c>
      <c r="D13" s="30">
        <f t="shared" ref="D13:D18" si="3">SUM(E13:W13)</f>
        <v>0</v>
      </c>
      <c r="E13" s="125">
        <f t="shared" ref="E13:W13" si="4">-E7</f>
        <v>0</v>
      </c>
      <c r="F13" s="125">
        <f t="shared" si="4"/>
        <v>0</v>
      </c>
      <c r="G13" s="125">
        <f t="shared" si="4"/>
        <v>0</v>
      </c>
      <c r="H13" s="125">
        <f t="shared" si="4"/>
        <v>0</v>
      </c>
      <c r="I13" s="125">
        <f t="shared" si="4"/>
        <v>0</v>
      </c>
      <c r="J13" s="125">
        <f t="shared" si="4"/>
        <v>0</v>
      </c>
      <c r="K13" s="125">
        <f t="shared" si="4"/>
        <v>0</v>
      </c>
      <c r="L13" s="125">
        <f t="shared" si="4"/>
        <v>0</v>
      </c>
      <c r="M13" s="125">
        <f t="shared" si="4"/>
        <v>0</v>
      </c>
      <c r="N13" s="125">
        <f t="shared" si="4"/>
        <v>0</v>
      </c>
      <c r="O13" s="125">
        <f t="shared" si="4"/>
        <v>0</v>
      </c>
      <c r="P13" s="125">
        <f t="shared" si="4"/>
        <v>0</v>
      </c>
      <c r="Q13" s="125">
        <f t="shared" si="4"/>
        <v>0</v>
      </c>
      <c r="R13" s="125">
        <f t="shared" si="4"/>
        <v>0</v>
      </c>
      <c r="S13" s="125">
        <f t="shared" si="4"/>
        <v>0</v>
      </c>
      <c r="T13" s="125">
        <f t="shared" si="4"/>
        <v>0</v>
      </c>
      <c r="U13" s="125">
        <f t="shared" si="4"/>
        <v>0</v>
      </c>
      <c r="V13" s="125">
        <f t="shared" si="4"/>
        <v>0</v>
      </c>
      <c r="W13" s="125">
        <f t="shared" si="4"/>
        <v>0</v>
      </c>
    </row>
    <row r="14" spans="1:23" s="41" customFormat="1">
      <c r="A14" s="285">
        <v>2024</v>
      </c>
      <c r="B14" s="63"/>
      <c r="C14" s="64" t="s">
        <v>5264</v>
      </c>
      <c r="D14" s="30">
        <f t="shared" si="3"/>
        <v>9209347</v>
      </c>
      <c r="E14" s="12">
        <f>+'A.1 PRIHODI'!E22</f>
        <v>7228357</v>
      </c>
      <c r="F14" s="12">
        <f>+'A.1 PRIHODI'!F22</f>
        <v>0</v>
      </c>
      <c r="G14" s="12">
        <f>+'A.1 PRIHODI'!G22</f>
        <v>301042</v>
      </c>
      <c r="H14" s="12">
        <f>+'A.1 PRIHODI'!H22</f>
        <v>0</v>
      </c>
      <c r="I14" s="12">
        <f>+'A.1 PRIHODI'!I22+'B. RAČUN FIN'!I17</f>
        <v>1573628</v>
      </c>
      <c r="J14" s="12">
        <f>+'A.1 PRIHODI'!J22</f>
        <v>24930</v>
      </c>
      <c r="K14" s="12">
        <f>+'A.1 PRIHODI'!K22</f>
        <v>81390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0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0</v>
      </c>
      <c r="T14" s="12">
        <f>+'A.1 PRIHODI'!T22</f>
        <v>0</v>
      </c>
      <c r="U14" s="12">
        <f>+'A.1 PRIHODI'!U22</f>
        <v>0</v>
      </c>
      <c r="V14" s="12">
        <f>+'A.1 PRIHODI'!V22</f>
        <v>0</v>
      </c>
      <c r="W14" s="12">
        <f>+'B. RAČUN FIN'!W17</f>
        <v>0</v>
      </c>
    </row>
    <row r="15" spans="1:23" s="41" customFormat="1">
      <c r="A15" s="285">
        <v>2024</v>
      </c>
      <c r="B15" s="44"/>
      <c r="C15" s="45" t="s">
        <v>5195</v>
      </c>
      <c r="D15" s="30">
        <f t="shared" si="3"/>
        <v>0</v>
      </c>
      <c r="E15" s="62"/>
      <c r="F15" s="62"/>
      <c r="G15" s="62"/>
      <c r="H15" s="62"/>
      <c r="I15" s="62"/>
      <c r="J15" s="62"/>
      <c r="K15" s="62"/>
      <c r="L15" s="62"/>
      <c r="M15" s="3"/>
      <c r="N15" s="62"/>
      <c r="O15" s="62"/>
      <c r="P15" s="62"/>
      <c r="Q15" s="62"/>
      <c r="R15" s="62"/>
      <c r="S15" s="62"/>
      <c r="T15" s="62"/>
      <c r="U15" s="62"/>
      <c r="V15" s="62"/>
      <c r="W15" s="62"/>
    </row>
    <row r="16" spans="1:23" s="41" customFormat="1">
      <c r="A16" s="285">
        <v>2024</v>
      </c>
      <c r="B16" s="63"/>
      <c r="C16" s="64" t="s">
        <v>5266</v>
      </c>
      <c r="D16" s="30">
        <f t="shared" si="3"/>
        <v>9209347</v>
      </c>
      <c r="E16" s="12">
        <f>+E13+E14+E15</f>
        <v>7228357</v>
      </c>
      <c r="F16" s="12">
        <f t="shared" ref="F16:W16" si="5">+F13+F14+F15</f>
        <v>0</v>
      </c>
      <c r="G16" s="12">
        <f t="shared" si="5"/>
        <v>301042</v>
      </c>
      <c r="H16" s="12">
        <f t="shared" si="5"/>
        <v>0</v>
      </c>
      <c r="I16" s="12">
        <f t="shared" si="5"/>
        <v>1573628</v>
      </c>
      <c r="J16" s="12">
        <f t="shared" si="5"/>
        <v>24930</v>
      </c>
      <c r="K16" s="12">
        <f t="shared" si="5"/>
        <v>81390</v>
      </c>
      <c r="L16" s="12">
        <f t="shared" si="5"/>
        <v>0</v>
      </c>
      <c r="M16" s="12">
        <f t="shared" si="5"/>
        <v>0</v>
      </c>
      <c r="N16" s="12">
        <f t="shared" si="5"/>
        <v>0</v>
      </c>
      <c r="O16" s="12">
        <f t="shared" si="5"/>
        <v>0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0</v>
      </c>
      <c r="T16" s="12">
        <f t="shared" si="5"/>
        <v>0</v>
      </c>
      <c r="U16" s="12">
        <f t="shared" si="5"/>
        <v>0</v>
      </c>
      <c r="V16" s="12">
        <f t="shared" si="5"/>
        <v>0</v>
      </c>
      <c r="W16" s="12">
        <f t="shared" si="5"/>
        <v>0</v>
      </c>
    </row>
    <row r="17" spans="1:23" s="41" customFormat="1">
      <c r="A17" s="285">
        <v>2024</v>
      </c>
      <c r="B17" s="60"/>
      <c r="C17" s="61" t="s">
        <v>5267</v>
      </c>
      <c r="D17" s="30">
        <f t="shared" si="3"/>
        <v>9209347</v>
      </c>
      <c r="E17" s="79">
        <f>+'A.2 RASHODI'!E21+'B. RAČUN FIN'!E22</f>
        <v>7228357</v>
      </c>
      <c r="F17" s="79">
        <f>+'A.2 RASHODI'!F21+'B. RAČUN FIN'!F22</f>
        <v>0</v>
      </c>
      <c r="G17" s="79">
        <f>+'A.2 RASHODI'!G21+'B. RAČUN FIN'!G22</f>
        <v>301042</v>
      </c>
      <c r="H17" s="79">
        <f>+'A.2 RASHODI'!H21+'B. RAČUN FIN'!H22</f>
        <v>0</v>
      </c>
      <c r="I17" s="79">
        <f>+'A.2 RASHODI'!I21+'B. RAČUN FIN'!I22</f>
        <v>1573628</v>
      </c>
      <c r="J17" s="79">
        <f>+'A.2 RASHODI'!J21+'B. RAČUN FIN'!J22</f>
        <v>24930</v>
      </c>
      <c r="K17" s="79">
        <f>+'A.2 RASHODI'!K21+'B. RAČUN FIN'!K22</f>
        <v>81390</v>
      </c>
      <c r="L17" s="79">
        <f>+'A.2 RASHODI'!L21+'B. RAČUN FIN'!L22</f>
        <v>0</v>
      </c>
      <c r="M17" s="79">
        <f>+'A.2 RASHODI'!M21+'B. RAČUN FIN'!M22</f>
        <v>0</v>
      </c>
      <c r="N17" s="79">
        <f>+'A.2 RASHODI'!N21+'B. RAČUN FIN'!N22</f>
        <v>0</v>
      </c>
      <c r="O17" s="79">
        <f>+'A.2 RASHODI'!O21+'B. RAČUN FIN'!O22</f>
        <v>0</v>
      </c>
      <c r="P17" s="79">
        <f>+'A.2 RASHODI'!P21+'B. RAČUN FIN'!P22</f>
        <v>0</v>
      </c>
      <c r="Q17" s="79">
        <f>+'A.2 RASHODI'!Q21+'B. RAČUN FIN'!Q22</f>
        <v>0</v>
      </c>
      <c r="R17" s="79">
        <f>+'A.2 RASHODI'!R21+'B. RAČUN FIN'!R22</f>
        <v>0</v>
      </c>
      <c r="S17" s="79">
        <f>+'A.2 RASHODI'!S21+'B. RAČUN FIN'!S22</f>
        <v>0</v>
      </c>
      <c r="T17" s="79">
        <f>+'A.2 RASHODI'!T21+'B. RAČUN FIN'!T22</f>
        <v>0</v>
      </c>
      <c r="U17" s="79">
        <f>+'A.2 RASHODI'!U21+'B. RAČUN FIN'!U22</f>
        <v>0</v>
      </c>
      <c r="V17" s="79">
        <f>+'A.2 RASHODI'!V21+'B. RAČUN FIN'!V22</f>
        <v>0</v>
      </c>
      <c r="W17" s="79">
        <f>+'A.2 RASHODI'!W21+'B. RAČUN FIN'!W22</f>
        <v>0</v>
      </c>
    </row>
    <row r="18" spans="1:23" s="41" customFormat="1" ht="20.25" customHeight="1">
      <c r="A18" s="285">
        <v>2024</v>
      </c>
      <c r="B18" s="254"/>
      <c r="C18" s="254" t="s">
        <v>5276</v>
      </c>
      <c r="D18" s="66">
        <f t="shared" si="3"/>
        <v>0</v>
      </c>
      <c r="E18" s="66">
        <f>+E16-E17</f>
        <v>0</v>
      </c>
      <c r="F18" s="66">
        <f t="shared" ref="F18:W18" si="6">+F16-F17</f>
        <v>0</v>
      </c>
      <c r="G18" s="66">
        <f t="shared" si="6"/>
        <v>0</v>
      </c>
      <c r="H18" s="66">
        <f t="shared" si="6"/>
        <v>0</v>
      </c>
      <c r="I18" s="66">
        <f t="shared" si="6"/>
        <v>0</v>
      </c>
      <c r="J18" s="66">
        <f t="shared" si="6"/>
        <v>0</v>
      </c>
      <c r="K18" s="66">
        <f t="shared" si="6"/>
        <v>0</v>
      </c>
      <c r="L18" s="66">
        <f t="shared" si="6"/>
        <v>0</v>
      </c>
      <c r="M18" s="66">
        <f t="shared" si="6"/>
        <v>0</v>
      </c>
      <c r="N18" s="66">
        <f t="shared" si="6"/>
        <v>0</v>
      </c>
      <c r="O18" s="66">
        <f t="shared" si="6"/>
        <v>0</v>
      </c>
      <c r="P18" s="66">
        <f t="shared" si="6"/>
        <v>0</v>
      </c>
      <c r="Q18" s="66">
        <f t="shared" si="6"/>
        <v>0</v>
      </c>
      <c r="R18" s="66">
        <f t="shared" si="6"/>
        <v>0</v>
      </c>
      <c r="S18" s="66">
        <f t="shared" si="6"/>
        <v>0</v>
      </c>
      <c r="T18" s="66">
        <f t="shared" si="6"/>
        <v>0</v>
      </c>
      <c r="U18" s="66">
        <f t="shared" si="6"/>
        <v>0</v>
      </c>
      <c r="V18" s="66">
        <f t="shared" si="6"/>
        <v>0</v>
      </c>
      <c r="W18" s="66">
        <f t="shared" si="6"/>
        <v>0</v>
      </c>
    </row>
    <row r="19" spans="1:23">
      <c r="B19" s="23"/>
      <c r="C19" s="23"/>
      <c r="D19" s="23"/>
      <c r="E19" s="23"/>
      <c r="F19" s="23"/>
      <c r="G19" s="23"/>
      <c r="H19" s="23"/>
      <c r="I19" s="52"/>
      <c r="J19" s="53"/>
      <c r="K19" s="53"/>
      <c r="L19" s="53"/>
      <c r="M19" s="53"/>
      <c r="N19" s="53"/>
      <c r="O19" s="53"/>
      <c r="P19" s="53"/>
      <c r="Q19" s="53"/>
      <c r="R19" s="53"/>
      <c r="S19" s="42"/>
      <c r="W19" s="42"/>
    </row>
    <row r="20" spans="1:23" s="41" customFormat="1" ht="89.25">
      <c r="A20" s="284" t="s">
        <v>1710</v>
      </c>
      <c r="B20" s="43" t="s">
        <v>237</v>
      </c>
      <c r="C20" s="43" t="s">
        <v>238</v>
      </c>
      <c r="D20" s="181" t="s">
        <v>239</v>
      </c>
      <c r="E20" s="169" t="s">
        <v>260</v>
      </c>
      <c r="F20" s="169" t="s">
        <v>251</v>
      </c>
      <c r="G20" s="169" t="s">
        <v>16</v>
      </c>
      <c r="H20" s="169" t="s">
        <v>1230</v>
      </c>
      <c r="I20" s="169" t="s">
        <v>17</v>
      </c>
      <c r="J20" s="169" t="s">
        <v>240</v>
      </c>
      <c r="K20" s="169" t="s">
        <v>241</v>
      </c>
      <c r="L20" s="169" t="s">
        <v>1231</v>
      </c>
      <c r="M20" s="169" t="s">
        <v>242</v>
      </c>
      <c r="N20" s="169" t="s">
        <v>243</v>
      </c>
      <c r="O20" s="169" t="s">
        <v>244</v>
      </c>
      <c r="P20" s="169" t="s">
        <v>1232</v>
      </c>
      <c r="Q20" s="169" t="s">
        <v>1233</v>
      </c>
      <c r="R20" s="169" t="s">
        <v>1708</v>
      </c>
      <c r="S20" s="2" t="s">
        <v>3021</v>
      </c>
      <c r="T20" s="2" t="s">
        <v>245</v>
      </c>
      <c r="U20" s="2" t="s">
        <v>246</v>
      </c>
      <c r="V20" s="2" t="s">
        <v>250</v>
      </c>
      <c r="W20" s="2" t="s">
        <v>1206</v>
      </c>
    </row>
    <row r="21" spans="1:23" s="41" customFormat="1">
      <c r="A21" s="285">
        <v>2025</v>
      </c>
      <c r="B21" s="44"/>
      <c r="C21" s="45" t="s">
        <v>11</v>
      </c>
      <c r="D21" s="30">
        <f t="shared" ref="D21:D26" si="7">SUM(E21:W21)</f>
        <v>0</v>
      </c>
      <c r="E21" s="125">
        <f t="shared" ref="E21:W21" si="8">-E15</f>
        <v>0</v>
      </c>
      <c r="F21" s="125">
        <f t="shared" si="8"/>
        <v>0</v>
      </c>
      <c r="G21" s="125">
        <f t="shared" si="8"/>
        <v>0</v>
      </c>
      <c r="H21" s="125">
        <f t="shared" si="8"/>
        <v>0</v>
      </c>
      <c r="I21" s="125">
        <f t="shared" si="8"/>
        <v>0</v>
      </c>
      <c r="J21" s="125">
        <f t="shared" si="8"/>
        <v>0</v>
      </c>
      <c r="K21" s="125">
        <f t="shared" si="8"/>
        <v>0</v>
      </c>
      <c r="L21" s="125">
        <f t="shared" si="8"/>
        <v>0</v>
      </c>
      <c r="M21" s="125">
        <f t="shared" si="8"/>
        <v>0</v>
      </c>
      <c r="N21" s="125">
        <f t="shared" si="8"/>
        <v>0</v>
      </c>
      <c r="O21" s="125">
        <f t="shared" si="8"/>
        <v>0</v>
      </c>
      <c r="P21" s="125">
        <f t="shared" si="8"/>
        <v>0</v>
      </c>
      <c r="Q21" s="125">
        <f t="shared" si="8"/>
        <v>0</v>
      </c>
      <c r="R21" s="125">
        <f t="shared" si="8"/>
        <v>0</v>
      </c>
      <c r="S21" s="125">
        <f t="shared" si="8"/>
        <v>0</v>
      </c>
      <c r="T21" s="125">
        <f t="shared" si="8"/>
        <v>0</v>
      </c>
      <c r="U21" s="125">
        <f t="shared" si="8"/>
        <v>0</v>
      </c>
      <c r="V21" s="125">
        <f t="shared" si="8"/>
        <v>0</v>
      </c>
      <c r="W21" s="125">
        <f t="shared" si="8"/>
        <v>0</v>
      </c>
    </row>
    <row r="22" spans="1:23" s="41" customFormat="1">
      <c r="A22" s="285">
        <v>2025</v>
      </c>
      <c r="B22" s="63"/>
      <c r="C22" s="64" t="s">
        <v>5264</v>
      </c>
      <c r="D22" s="30">
        <f t="shared" si="7"/>
        <v>9235800</v>
      </c>
      <c r="E22" s="12">
        <f>+'A.1 PRIHODI'!E36</f>
        <v>7258335</v>
      </c>
      <c r="F22" s="12">
        <f>+'A.1 PRIHODI'!F36</f>
        <v>0</v>
      </c>
      <c r="G22" s="12">
        <f>+'A.1 PRIHODI'!G36</f>
        <v>310374</v>
      </c>
      <c r="H22" s="12">
        <f>+'A.1 PRIHODI'!H36</f>
        <v>0</v>
      </c>
      <c r="I22" s="12">
        <f>+'A.1 PRIHODI'!I36+'B. RAČUN FIN'!I28</f>
        <v>1622410</v>
      </c>
      <c r="J22" s="12">
        <f>+'A.1 PRIHODI'!J36</f>
        <v>9381</v>
      </c>
      <c r="K22" s="12">
        <f>+'A.1 PRIHODI'!K36</f>
        <v>35300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0</v>
      </c>
      <c r="T22" s="12">
        <f>+'A.1 PRIHODI'!T36</f>
        <v>0</v>
      </c>
      <c r="U22" s="12">
        <f>+'A.1 PRIHODI'!U36</f>
        <v>0</v>
      </c>
      <c r="V22" s="12">
        <f>+'A.1 PRIHODI'!V36</f>
        <v>0</v>
      </c>
      <c r="W22" s="12">
        <f>+'B. RAČUN FIN'!W28</f>
        <v>0</v>
      </c>
    </row>
    <row r="23" spans="1:23" s="41" customFormat="1">
      <c r="A23" s="285">
        <v>2025</v>
      </c>
      <c r="B23" s="44"/>
      <c r="C23" s="45" t="s">
        <v>5195</v>
      </c>
      <c r="D23" s="30">
        <f t="shared" si="7"/>
        <v>0</v>
      </c>
      <c r="E23" s="62"/>
      <c r="F23" s="62"/>
      <c r="G23" s="62"/>
      <c r="H23" s="62"/>
      <c r="I23" s="62"/>
      <c r="J23" s="62"/>
      <c r="K23" s="62"/>
      <c r="L23" s="62"/>
      <c r="M23" s="3"/>
      <c r="N23" s="62"/>
      <c r="O23" s="62"/>
      <c r="P23" s="62"/>
      <c r="Q23" s="62"/>
      <c r="R23" s="62"/>
      <c r="S23" s="62"/>
      <c r="T23" s="62"/>
      <c r="U23" s="62"/>
      <c r="V23" s="62"/>
      <c r="W23" s="62"/>
    </row>
    <row r="24" spans="1:23" s="41" customFormat="1">
      <c r="A24" s="285">
        <v>2025</v>
      </c>
      <c r="B24" s="63"/>
      <c r="C24" s="64" t="s">
        <v>5266</v>
      </c>
      <c r="D24" s="30">
        <f t="shared" si="7"/>
        <v>9235800</v>
      </c>
      <c r="E24" s="12">
        <f>+E21+E22+E23</f>
        <v>7258335</v>
      </c>
      <c r="F24" s="12">
        <f t="shared" ref="F24:W24" si="9">+F21+F22+F23</f>
        <v>0</v>
      </c>
      <c r="G24" s="12">
        <f t="shared" si="9"/>
        <v>310374</v>
      </c>
      <c r="H24" s="12">
        <f t="shared" si="9"/>
        <v>0</v>
      </c>
      <c r="I24" s="12">
        <f t="shared" si="9"/>
        <v>1622410</v>
      </c>
      <c r="J24" s="12">
        <f t="shared" si="9"/>
        <v>9381</v>
      </c>
      <c r="K24" s="12">
        <f t="shared" si="9"/>
        <v>35300</v>
      </c>
      <c r="L24" s="12">
        <f t="shared" si="9"/>
        <v>0</v>
      </c>
      <c r="M24" s="12">
        <f t="shared" si="9"/>
        <v>0</v>
      </c>
      <c r="N24" s="12">
        <f t="shared" si="9"/>
        <v>0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0</v>
      </c>
      <c r="T24" s="12">
        <f t="shared" si="9"/>
        <v>0</v>
      </c>
      <c r="U24" s="12">
        <f t="shared" si="9"/>
        <v>0</v>
      </c>
      <c r="V24" s="12">
        <f t="shared" si="9"/>
        <v>0</v>
      </c>
      <c r="W24" s="12">
        <f t="shared" si="9"/>
        <v>0</v>
      </c>
    </row>
    <row r="25" spans="1:23" s="41" customFormat="1">
      <c r="A25" s="285">
        <v>2025</v>
      </c>
      <c r="B25" s="60"/>
      <c r="C25" s="61" t="s">
        <v>5267</v>
      </c>
      <c r="D25" s="30">
        <f t="shared" si="7"/>
        <v>9235800</v>
      </c>
      <c r="E25" s="79">
        <f>+'A.2 RASHODI'!E38+'B. RAČUN FIN'!E33</f>
        <v>7258335</v>
      </c>
      <c r="F25" s="79">
        <f>+'A.2 RASHODI'!F38+'B. RAČUN FIN'!F33</f>
        <v>0</v>
      </c>
      <c r="G25" s="79">
        <f>+'A.2 RASHODI'!G38+'B. RAČUN FIN'!G33</f>
        <v>310374</v>
      </c>
      <c r="H25" s="79">
        <f>+'A.2 RASHODI'!H38+'B. RAČUN FIN'!H33</f>
        <v>0</v>
      </c>
      <c r="I25" s="79">
        <f>+'A.2 RASHODI'!I38+'B. RAČUN FIN'!I33</f>
        <v>1622410</v>
      </c>
      <c r="J25" s="79">
        <f>+'A.2 RASHODI'!J38+'B. RAČUN FIN'!J33</f>
        <v>9381</v>
      </c>
      <c r="K25" s="79">
        <f>+'A.2 RASHODI'!K38+'B. RAČUN FIN'!K33</f>
        <v>35300</v>
      </c>
      <c r="L25" s="79">
        <f>+'A.2 RASHODI'!L38+'B. RAČUN FIN'!L33</f>
        <v>0</v>
      </c>
      <c r="M25" s="79">
        <f>+'A.2 RASHODI'!M38+'B. RAČUN FIN'!M33</f>
        <v>0</v>
      </c>
      <c r="N25" s="79">
        <f>+'A.2 RASHODI'!N38+'B. RAČUN FIN'!N33</f>
        <v>0</v>
      </c>
      <c r="O25" s="79">
        <f>+'A.2 RASHODI'!O38+'B. RAČUN FIN'!O33</f>
        <v>0</v>
      </c>
      <c r="P25" s="79">
        <f>+'A.2 RASHODI'!P38+'B. RAČUN FIN'!P33</f>
        <v>0</v>
      </c>
      <c r="Q25" s="79">
        <f>+'A.2 RASHODI'!Q38+'B. RAČUN FIN'!Q33</f>
        <v>0</v>
      </c>
      <c r="R25" s="79">
        <f>+'A.2 RASHODI'!R38+'B. RAČUN FIN'!R33</f>
        <v>0</v>
      </c>
      <c r="S25" s="79">
        <f>+'A.2 RASHODI'!S38+'B. RAČUN FIN'!S33</f>
        <v>0</v>
      </c>
      <c r="T25" s="79">
        <f>+'A.2 RASHODI'!T38+'B. RAČUN FIN'!T33</f>
        <v>0</v>
      </c>
      <c r="U25" s="79">
        <f>+'A.2 RASHODI'!U38+'B. RAČUN FIN'!U33</f>
        <v>0</v>
      </c>
      <c r="V25" s="79">
        <f>+'A.2 RASHODI'!V38+'B. RAČUN FIN'!V33</f>
        <v>0</v>
      </c>
      <c r="W25" s="79">
        <f>+'A.2 RASHODI'!W38+'B. RAČUN FIN'!W33</f>
        <v>0</v>
      </c>
    </row>
    <row r="26" spans="1:23" s="41" customFormat="1" ht="20.25" customHeight="1">
      <c r="A26" s="285">
        <v>2025</v>
      </c>
      <c r="B26" s="254"/>
      <c r="C26" s="254" t="s">
        <v>5276</v>
      </c>
      <c r="D26" s="66">
        <f t="shared" si="7"/>
        <v>0</v>
      </c>
      <c r="E26" s="66">
        <f>+E24-E25</f>
        <v>0</v>
      </c>
      <c r="F26" s="66">
        <f t="shared" ref="F26:W26" si="10">+F24-F25</f>
        <v>0</v>
      </c>
      <c r="G26" s="66">
        <f t="shared" si="10"/>
        <v>0</v>
      </c>
      <c r="H26" s="66">
        <f>+H24-H25</f>
        <v>0</v>
      </c>
      <c r="I26" s="66">
        <f t="shared" si="10"/>
        <v>0</v>
      </c>
      <c r="J26" s="66">
        <f t="shared" si="10"/>
        <v>0</v>
      </c>
      <c r="K26" s="66">
        <f t="shared" si="10"/>
        <v>0</v>
      </c>
      <c r="L26" s="66">
        <f>+L24-L25</f>
        <v>0</v>
      </c>
      <c r="M26" s="66">
        <f t="shared" si="10"/>
        <v>0</v>
      </c>
      <c r="N26" s="66">
        <f t="shared" si="10"/>
        <v>0</v>
      </c>
      <c r="O26" s="66">
        <f t="shared" si="10"/>
        <v>0</v>
      </c>
      <c r="P26" s="66">
        <f>+P24-P25</f>
        <v>0</v>
      </c>
      <c r="Q26" s="66">
        <f>+Q24-Q25</f>
        <v>0</v>
      </c>
      <c r="R26" s="66">
        <f>+R24-R25</f>
        <v>0</v>
      </c>
      <c r="S26" s="66">
        <f>+S24-S25</f>
        <v>0</v>
      </c>
      <c r="T26" s="66">
        <f t="shared" si="10"/>
        <v>0</v>
      </c>
      <c r="U26" s="66">
        <f t="shared" si="10"/>
        <v>0</v>
      </c>
      <c r="V26" s="66">
        <f t="shared" si="10"/>
        <v>0</v>
      </c>
      <c r="W26" s="66">
        <f t="shared" si="10"/>
        <v>0</v>
      </c>
    </row>
    <row r="27" spans="1:23">
      <c r="B27" s="23"/>
      <c r="C27" s="23"/>
      <c r="D27" s="23"/>
      <c r="E27" s="23"/>
      <c r="F27" s="23"/>
      <c r="G27" s="23"/>
      <c r="H27" s="23"/>
      <c r="I27" s="52"/>
      <c r="J27" s="53"/>
      <c r="K27" s="53"/>
      <c r="L27" s="53"/>
      <c r="M27" s="53"/>
      <c r="N27" s="53"/>
      <c r="O27" s="53"/>
      <c r="P27" s="53"/>
      <c r="Q27" s="53"/>
      <c r="R27" s="53"/>
      <c r="S27" s="42"/>
      <c r="W27" s="42"/>
    </row>
    <row r="28" spans="1:23">
      <c r="G28" s="5"/>
      <c r="H28" s="5"/>
      <c r="I28" s="24"/>
      <c r="J28" s="54"/>
      <c r="K28" s="54"/>
      <c r="L28" s="54"/>
      <c r="M28" s="54"/>
      <c r="N28" s="54"/>
      <c r="O28" s="54"/>
      <c r="P28" s="54"/>
      <c r="Q28" s="54"/>
      <c r="R28" s="54"/>
    </row>
    <row r="29" spans="1:23">
      <c r="G29" s="5"/>
      <c r="H29" s="5"/>
      <c r="I29" s="55"/>
      <c r="J29" s="56"/>
      <c r="K29" s="56"/>
      <c r="L29" s="56"/>
      <c r="M29" s="56"/>
      <c r="N29" s="56"/>
      <c r="O29" s="56"/>
      <c r="P29" s="56"/>
      <c r="Q29" s="56"/>
      <c r="R29" s="56"/>
    </row>
    <row r="30" spans="1:23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3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3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57"/>
      <c r="K37" s="57"/>
      <c r="L37" s="57"/>
      <c r="M37" s="57"/>
      <c r="N37" s="57"/>
      <c r="O37" s="57"/>
      <c r="P37" s="57"/>
      <c r="Q37" s="57"/>
      <c r="R37" s="57"/>
    </row>
    <row r="38" spans="2:18">
      <c r="I38" s="55"/>
      <c r="J38" s="58"/>
      <c r="K38" s="58"/>
      <c r="L38" s="58"/>
      <c r="M38" s="58"/>
      <c r="N38" s="58"/>
      <c r="O38" s="58"/>
      <c r="P38" s="58"/>
      <c r="Q38" s="58"/>
      <c r="R38" s="58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7:W7 E15:W15 E23:W23" xr:uid="{00000000-0002-0000-0400-000000000000}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 xr:uid="{00000000-0002-0000-0400-000001000000}">
      <formula1>0</formula1>
      <formula2>500000000</formula2>
    </dataValidation>
  </dataValidations>
  <pageMargins left="0" right="0" top="0" bottom="0" header="0.31496062992125984" footer="0.31496062992125984"/>
  <pageSetup paperSize="9" scale="4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pageSetUpPr fitToPage="1"/>
  </sheetPr>
  <dimension ref="A1:V59"/>
  <sheetViews>
    <sheetView showGridLines="0" zoomScale="80" zoomScaleNormal="80" workbookViewId="0">
      <pane xSplit="1" ySplit="6" topLeftCell="B13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2578125" defaultRowHeight="12.75"/>
  <cols>
    <col min="1" max="1" width="7.140625" style="1" customWidth="1"/>
    <col min="2" max="2" width="8.2851562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2" width="13.85546875" style="1" customWidth="1"/>
    <col min="23" max="23" width="7.85546875" style="1" customWidth="1"/>
    <col min="24" max="16384" width="11.42578125" style="1"/>
  </cols>
  <sheetData>
    <row r="1" spans="1:22" ht="15.6" customHeight="1">
      <c r="B1" s="304" t="s">
        <v>5087</v>
      </c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</row>
    <row r="2" spans="1:22" ht="15.6" customHeight="1">
      <c r="B2" s="304"/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</row>
    <row r="3" spans="1:22" ht="15.6" customHeight="1">
      <c r="B3" s="304" t="s">
        <v>5088</v>
      </c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</row>
    <row r="4" spans="1:22" ht="15.6" customHeight="1">
      <c r="B4" s="304"/>
      <c r="C4" s="304"/>
      <c r="D4" s="304"/>
      <c r="E4" s="304"/>
      <c r="F4" s="304"/>
      <c r="G4" s="304"/>
      <c r="H4" s="304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</row>
    <row r="5" spans="1:22" ht="15.6" customHeight="1">
      <c r="B5" s="304" t="s">
        <v>5112</v>
      </c>
      <c r="C5" s="304"/>
      <c r="D5" s="304"/>
      <c r="E5" s="304"/>
      <c r="F5" s="304"/>
      <c r="G5" s="304"/>
      <c r="H5" s="304"/>
      <c r="I5" s="304"/>
      <c r="J5" s="304"/>
      <c r="K5" s="304"/>
      <c r="L5" s="304"/>
      <c r="M5" s="304"/>
      <c r="N5" s="304"/>
      <c r="O5" s="304"/>
      <c r="P5" s="304"/>
      <c r="Q5" s="304"/>
      <c r="R5" s="304"/>
      <c r="S5" s="304"/>
      <c r="T5" s="304"/>
      <c r="U5" s="304"/>
      <c r="V5" s="304"/>
    </row>
    <row r="6" spans="1:22" s="41" customFormat="1" ht="15">
      <c r="B6" s="40"/>
      <c r="C6" s="40"/>
      <c r="D6" s="40"/>
      <c r="S6" s="42"/>
      <c r="V6" s="185" t="s">
        <v>5269</v>
      </c>
    </row>
    <row r="7" spans="1:22" s="41" customFormat="1" ht="89.25">
      <c r="A7" s="284" t="s">
        <v>1710</v>
      </c>
      <c r="B7" s="43" t="s">
        <v>237</v>
      </c>
      <c r="C7" s="43" t="s">
        <v>238</v>
      </c>
      <c r="D7" s="181" t="s">
        <v>239</v>
      </c>
      <c r="E7" s="142" t="s">
        <v>260</v>
      </c>
      <c r="F7" s="142" t="s">
        <v>251</v>
      </c>
      <c r="G7" s="142" t="s">
        <v>16</v>
      </c>
      <c r="H7" s="142" t="s">
        <v>1230</v>
      </c>
      <c r="I7" s="142" t="s">
        <v>17</v>
      </c>
      <c r="J7" s="142" t="s">
        <v>240</v>
      </c>
      <c r="K7" s="142" t="s">
        <v>241</v>
      </c>
      <c r="L7" s="142" t="s">
        <v>1231</v>
      </c>
      <c r="M7" s="142" t="s">
        <v>242</v>
      </c>
      <c r="N7" s="142" t="s">
        <v>243</v>
      </c>
      <c r="O7" s="142" t="s">
        <v>244</v>
      </c>
      <c r="P7" s="142" t="s">
        <v>1232</v>
      </c>
      <c r="Q7" s="142" t="s">
        <v>1233</v>
      </c>
      <c r="R7" s="142" t="s">
        <v>1708</v>
      </c>
      <c r="S7" s="2" t="s">
        <v>3021</v>
      </c>
      <c r="T7" s="142" t="s">
        <v>245</v>
      </c>
      <c r="U7" s="2" t="s">
        <v>246</v>
      </c>
      <c r="V7" s="2" t="s">
        <v>250</v>
      </c>
    </row>
    <row r="8" spans="1:22" s="41" customFormat="1" ht="20.25" customHeight="1">
      <c r="A8" s="285">
        <v>2023</v>
      </c>
      <c r="B8" s="254">
        <v>2023</v>
      </c>
      <c r="C8" s="254" t="s">
        <v>5196</v>
      </c>
      <c r="D8" s="66">
        <f>SUM(E8:V8)</f>
        <v>16879629</v>
      </c>
      <c r="E8" s="66">
        <f>+E19+E16</f>
        <v>7198532</v>
      </c>
      <c r="F8" s="66">
        <f>+F19+F16</f>
        <v>0</v>
      </c>
      <c r="G8" s="66">
        <f>+G19+G16</f>
        <v>291990</v>
      </c>
      <c r="H8" s="66">
        <f t="shared" ref="H8:V8" si="0">+H19+H16</f>
        <v>0</v>
      </c>
      <c r="I8" s="66">
        <f t="shared" si="0"/>
        <v>882282</v>
      </c>
      <c r="J8" s="66">
        <f>+J19+J16</f>
        <v>73860</v>
      </c>
      <c r="K8" s="66">
        <f t="shared" si="0"/>
        <v>130922</v>
      </c>
      <c r="L8" s="66">
        <f t="shared" si="0"/>
        <v>0</v>
      </c>
      <c r="M8" s="66">
        <f t="shared" si="0"/>
        <v>0</v>
      </c>
      <c r="N8" s="66">
        <f t="shared" si="0"/>
        <v>0</v>
      </c>
      <c r="O8" s="66">
        <f t="shared" si="0"/>
        <v>0</v>
      </c>
      <c r="P8" s="66">
        <f t="shared" si="0"/>
        <v>0</v>
      </c>
      <c r="Q8" s="66">
        <f t="shared" si="0"/>
        <v>0</v>
      </c>
      <c r="R8" s="66">
        <f t="shared" si="0"/>
        <v>5003386</v>
      </c>
      <c r="S8" s="66">
        <f t="shared" si="0"/>
        <v>3298657</v>
      </c>
      <c r="T8" s="66">
        <f t="shared" si="0"/>
        <v>0</v>
      </c>
      <c r="U8" s="66">
        <f t="shared" si="0"/>
        <v>0</v>
      </c>
      <c r="V8" s="66">
        <f t="shared" si="0"/>
        <v>0</v>
      </c>
    </row>
    <row r="9" spans="1:22" s="41" customFormat="1">
      <c r="A9" s="285">
        <v>2023</v>
      </c>
      <c r="B9" s="46" t="s">
        <v>5091</v>
      </c>
      <c r="C9" s="59" t="s">
        <v>5090</v>
      </c>
      <c r="D9" s="30">
        <f t="shared" ref="D9:D18" si="1">SUM(E9:V9)</f>
        <v>0</v>
      </c>
      <c r="E9" s="126">
        <f>SUMIFS('Unos prihoda i primitaka'!$G$3:$G$501,'Unos prihoda i primitaka'!$C$3:$C$501,"=11",'Unos prihoda i primitaka'!$L$3:$L$501,"=61")</f>
        <v>0</v>
      </c>
      <c r="F9" s="126">
        <f>SUMIFS('Unos prihoda i primitaka'!$G$3:$G$501,'Unos prihoda i primitaka'!$C$3:$C$501,"=12",'Unos prihoda i primitaka'!$L$3:$L$501,"=61")</f>
        <v>0</v>
      </c>
      <c r="G9" s="126">
        <f>SUMIFS('Unos prihoda i primitaka'!$G$3:$G$501,'Unos prihoda i primitaka'!$C$3:$C$501,"=31",'Unos prihoda i primitaka'!$L$3:$L$501,"=61")</f>
        <v>0</v>
      </c>
      <c r="H9" s="126">
        <f>SUMIFS('Unos prihoda i primitaka'!$G$3:$G$501,'Unos prihoda i primitaka'!$C$3:$C$501,"=41",'Unos prihoda i primitaka'!$L$3:$L$501,"=61")</f>
        <v>0</v>
      </c>
      <c r="I9" s="126">
        <f>SUMIFS('Unos prihoda i primitaka'!$G$3:$G$501,'Unos prihoda i primitaka'!$C$3:$C$501,"=43",'Unos prihoda i primitaka'!$L$3:$L$501,"=61")</f>
        <v>0</v>
      </c>
      <c r="J9" s="126">
        <f>SUMIFS('Unos prihoda i primitaka'!$G$3:$G$501,'Unos prihoda i primitaka'!$C$3:$C$501,"=51",'Unos prihoda i primitaka'!$L$3:$L$501,"=61")</f>
        <v>0</v>
      </c>
      <c r="K9" s="126">
        <f>SUMIFS('Unos prihoda i primitaka'!$G$3:$G$501,'Unos prihoda i primitaka'!$C$3:$C$501,"=52",'Unos prihoda i primitaka'!$L$3:$L$501,"=61")</f>
        <v>0</v>
      </c>
      <c r="L9" s="126">
        <f>SUMIFS('Unos prihoda i primitaka'!$G$3:$G$501,'Unos prihoda i primitaka'!$C$3:$C$501,"=552",'Unos prihoda i primitaka'!$L$3:$L$501,"=61")</f>
        <v>0</v>
      </c>
      <c r="M9" s="126">
        <f>SUMIFS('Unos prihoda i primitaka'!$G$3:$G$501,'Unos prihoda i primitaka'!$C$3:$C$501,"=559",'Unos prihoda i primitaka'!$L$3:$L$501,"=61")</f>
        <v>0</v>
      </c>
      <c r="N9" s="126">
        <f>SUMIFS('Unos prihoda i primitaka'!$G$3:$G$501,'Unos prihoda i primitaka'!$C$3:$C$501,"=561",'Unos prihoda i primitaka'!$L$3:$L$501,"=61")</f>
        <v>0</v>
      </c>
      <c r="O9" s="126">
        <f>SUMIFS('Unos prihoda i primitaka'!$G$3:$G$501,'Unos prihoda i primitaka'!$C$3:$C$501,"=563",'Unos prihoda i primitaka'!$L$3:$L$501,"=61")</f>
        <v>0</v>
      </c>
      <c r="P9" s="126">
        <f>SUMIFS('Unos prihoda i primitaka'!$G$3:$G$501,'Unos prihoda i primitaka'!$C$3:$C$501,"=573",'Unos prihoda i primitaka'!$L$3:$L$501,"=61")</f>
        <v>0</v>
      </c>
      <c r="Q9" s="126">
        <f>SUMIFS('Unos prihoda i primitaka'!$G$3:$G$501,'Unos prihoda i primitaka'!$C$3:$C$501,"=575",'Unos prihoda i primitaka'!$L$3:$L$501,"=61")</f>
        <v>0</v>
      </c>
      <c r="R9" s="126">
        <f>SUMIFS('Unos prihoda i primitaka'!$G$3:$G$501,'Unos prihoda i primitaka'!$C$3:$C$501,"=576",'Unos prihoda i primitaka'!$L$3:$L$501,"=61")</f>
        <v>0</v>
      </c>
      <c r="S9" s="126">
        <f>SUMIFS('Unos prihoda i primitaka'!$G$3:$G$501,'Unos prihoda i primitaka'!$C$3:$C$501,"=581",'Unos prihoda i primitaka'!$L$3:$L$501,"=61")</f>
        <v>0</v>
      </c>
      <c r="T9" s="126">
        <f>SUMIFS('Unos prihoda i primitaka'!$G$3:$G$501,'Unos prihoda i primitaka'!$C$3:$C$501,"=61",'Unos prihoda i primitaka'!$L$3:$L$501,"=61")</f>
        <v>0</v>
      </c>
      <c r="U9" s="126">
        <f>SUMIFS('Unos prihoda i primitaka'!$G$3:$G$501,'Unos prihoda i primitaka'!$C$3:$C$501,"=63",'Unos prihoda i primitaka'!$L$3:$L$501,"=61")</f>
        <v>0</v>
      </c>
      <c r="V9" s="126">
        <f>SUMIFS('Unos prihoda i primitaka'!$G$3:$G$501,'Unos prihoda i primitaka'!$C$3:$C$501,"=71",'Unos prihoda i primitaka'!$L$3:$L$501,"=61")</f>
        <v>0</v>
      </c>
    </row>
    <row r="10" spans="1:22" s="41" customFormat="1" ht="12.75" customHeight="1">
      <c r="A10" s="285">
        <v>2023</v>
      </c>
      <c r="B10" s="46" t="s">
        <v>5093</v>
      </c>
      <c r="C10" s="59" t="s">
        <v>5092</v>
      </c>
      <c r="D10" s="30">
        <f t="shared" si="1"/>
        <v>8506825</v>
      </c>
      <c r="E10" s="126">
        <f>SUMIFS('Unos prihoda i primitaka'!$G$3:$G$501,'Unos prihoda i primitaka'!$C$3:$C$501,"=11",'Unos prihoda i primitaka'!$L$3:$L$501,"=63")</f>
        <v>0</v>
      </c>
      <c r="F10" s="126">
        <f>SUMIFS('Unos prihoda i primitaka'!$G$3:$G$501,'Unos prihoda i primitaka'!$C$3:$C$501,"=12",'Unos prihoda i primitaka'!$L$3:$L$501,"=63")</f>
        <v>0</v>
      </c>
      <c r="G10" s="126">
        <f>SUMIFS('Unos prihoda i primitaka'!$G$3:$G$501,'Unos prihoda i primitaka'!$C$3:$C$501,"=31",'Unos prihoda i primitaka'!$L$3:$L$501,"=63")</f>
        <v>0</v>
      </c>
      <c r="H10" s="126">
        <f>SUMIFS('Unos prihoda i primitaka'!$G$3:$G$501,'Unos prihoda i primitaka'!$C$3:$C$501,"=41",'Unos prihoda i primitaka'!$L$3:$L$501,"=63")</f>
        <v>0</v>
      </c>
      <c r="I10" s="126">
        <f>SUMIFS('Unos prihoda i primitaka'!$G$3:$G$501,'Unos prihoda i primitaka'!$C$3:$C$501,"=43",'Unos prihoda i primitaka'!$L$3:$L$501,"=63")</f>
        <v>0</v>
      </c>
      <c r="J10" s="126">
        <f>SUMIFS('Unos prihoda i primitaka'!$G$3:$G$501,'Unos prihoda i primitaka'!$C$3:$C$501,"=51",'Unos prihoda i primitaka'!$L$3:$L$501,"=63")</f>
        <v>73860</v>
      </c>
      <c r="K10" s="126">
        <f>SUMIFS('Unos prihoda i primitaka'!$G$3:$G$501,'Unos prihoda i primitaka'!$C$3:$C$501,"=52",'Unos prihoda i primitaka'!$L$3:$L$501,"=63")</f>
        <v>130922</v>
      </c>
      <c r="L10" s="126">
        <f>SUMIFS('Unos prihoda i primitaka'!$G$3:$G$501,'Unos prihoda i primitaka'!$C$3:$C$501,"=552",'Unos prihoda i primitaka'!$L$3:$L$501,"=63")</f>
        <v>0</v>
      </c>
      <c r="M10" s="126">
        <f>SUMIFS('Unos prihoda i primitaka'!$G$3:$G$501,'Unos prihoda i primitaka'!$C$3:$C$501,"=559",'Unos prihoda i primitaka'!$L$3:$L$501,"=63")</f>
        <v>0</v>
      </c>
      <c r="N10" s="126">
        <f>SUMIFS('Unos prihoda i primitaka'!$G$3:$G$501,'Unos prihoda i primitaka'!$C$3:$C$501,"=561",'Unos prihoda i primitaka'!$L$3:$L$501,"=63")</f>
        <v>0</v>
      </c>
      <c r="O10" s="126">
        <f>SUMIFS('Unos prihoda i primitaka'!$G$3:$G$501,'Unos prihoda i primitaka'!$C$3:$C$501,"=563",'Unos prihoda i primitaka'!$L$3:$L$501,"=63")</f>
        <v>0</v>
      </c>
      <c r="P10" s="126">
        <f>SUMIFS('Unos prihoda i primitaka'!$G$3:$G$501,'Unos prihoda i primitaka'!$C$3:$C$501,"=573",'Unos prihoda i primitaka'!$L$3:$L$501,"=63")</f>
        <v>0</v>
      </c>
      <c r="Q10" s="126">
        <f>SUMIFS('Unos prihoda i primitaka'!$G$3:$G$501,'Unos prihoda i primitaka'!$C$3:$C$501,"=575",'Unos prihoda i primitaka'!$L$3:$L$501,"=63")</f>
        <v>0</v>
      </c>
      <c r="R10" s="126">
        <f>SUMIFS('Unos prihoda i primitaka'!$G$3:$G$501,'Unos prihoda i primitaka'!$C$3:$C$501,"=576",'Unos prihoda i primitaka'!$L$3:$L$501,"=63")</f>
        <v>5003386</v>
      </c>
      <c r="S10" s="126">
        <f>SUMIFS('Unos prihoda i primitaka'!$G$3:$G$501,'Unos prihoda i primitaka'!$C$3:$C$501,"=581",'Unos prihoda i primitaka'!$L$3:$L$501,"=63")</f>
        <v>3298657</v>
      </c>
      <c r="T10" s="126">
        <f>SUMIFS('Unos prihoda i primitaka'!$G$3:$G$501,'Unos prihoda i primitaka'!$C$3:$C$501,"=61",'Unos prihoda i primitaka'!$L$3:$L$501,"=63")</f>
        <v>0</v>
      </c>
      <c r="U10" s="126">
        <f>SUMIFS('Unos prihoda i primitaka'!$G$3:$G$501,'Unos prihoda i primitaka'!$C$3:$C$501,"=63",'Unos prihoda i primitaka'!$L$3:$L$501,"=63")</f>
        <v>0</v>
      </c>
      <c r="V10" s="126">
        <f>SUMIFS('Unos prihoda i primitaka'!$G$3:$G$501,'Unos prihoda i primitaka'!$C$3:$C$501,"=71",'Unos prihoda i primitaka'!$L$3:$L$501,"=63")</f>
        <v>0</v>
      </c>
    </row>
    <row r="11" spans="1:22" s="41" customFormat="1">
      <c r="A11" s="285">
        <v>2023</v>
      </c>
      <c r="B11" s="44" t="s">
        <v>5095</v>
      </c>
      <c r="C11" s="45" t="s">
        <v>5094</v>
      </c>
      <c r="D11" s="30">
        <f t="shared" si="1"/>
        <v>0</v>
      </c>
      <c r="E11" s="126">
        <f>SUMIFS('Unos prihoda i primitaka'!$G$3:$G$501,'Unos prihoda i primitaka'!$C$3:$C$501,"=11",'Unos prihoda i primitaka'!$L$3:$L$501,"=64")</f>
        <v>0</v>
      </c>
      <c r="F11" s="126">
        <f>SUMIFS('Unos prihoda i primitaka'!$G$3:$G$501,'Unos prihoda i primitaka'!$C$3:$C$501,"=12",'Unos prihoda i primitaka'!$L$3:$L$501,"=64")</f>
        <v>0</v>
      </c>
      <c r="G11" s="126">
        <f>SUMIFS('Unos prihoda i primitaka'!$G$3:$G$501,'Unos prihoda i primitaka'!$C$3:$C$501,"=31",'Unos prihoda i primitaka'!$L$3:$L$501,"=64")</f>
        <v>0</v>
      </c>
      <c r="H11" s="126">
        <f>SUMIFS('Unos prihoda i primitaka'!$G$3:$G$501,'Unos prihoda i primitaka'!$C$3:$C$501,"=41",'Unos prihoda i primitaka'!$L$3:$L$501,"=64")</f>
        <v>0</v>
      </c>
      <c r="I11" s="126">
        <f>SUMIFS('Unos prihoda i primitaka'!$G$3:$G$501,'Unos prihoda i primitaka'!$C$3:$C$501,"=43",'Unos prihoda i primitaka'!$L$3:$L$501,"=64")</f>
        <v>0</v>
      </c>
      <c r="J11" s="126">
        <f>SUMIFS('Unos prihoda i primitaka'!$G$3:$G$501,'Unos prihoda i primitaka'!$C$3:$C$501,"=51",'Unos prihoda i primitaka'!$L$3:$L$501,"=64")</f>
        <v>0</v>
      </c>
      <c r="K11" s="126">
        <f>SUMIFS('Unos prihoda i primitaka'!$G$3:$G$501,'Unos prihoda i primitaka'!$C$3:$C$501,"=52",'Unos prihoda i primitaka'!$L$3:$L$501,"=64")</f>
        <v>0</v>
      </c>
      <c r="L11" s="126">
        <f>SUMIFS('Unos prihoda i primitaka'!$G$3:$G$501,'Unos prihoda i primitaka'!$C$3:$C$501,"=552",'Unos prihoda i primitaka'!$L$3:$L$501,"=64")</f>
        <v>0</v>
      </c>
      <c r="M11" s="126">
        <f>SUMIFS('Unos prihoda i primitaka'!$G$3:$G$501,'Unos prihoda i primitaka'!$C$3:$C$501,"=559",'Unos prihoda i primitaka'!$L$3:$L$501,"=64")</f>
        <v>0</v>
      </c>
      <c r="N11" s="126">
        <f>SUMIFS('Unos prihoda i primitaka'!$G$3:$G$501,'Unos prihoda i primitaka'!$C$3:$C$501,"=561",'Unos prihoda i primitaka'!$L$3:$L$501,"=64")</f>
        <v>0</v>
      </c>
      <c r="O11" s="126">
        <f>SUMIFS('Unos prihoda i primitaka'!$G$3:$G$501,'Unos prihoda i primitaka'!$C$3:$C$501,"=563",'Unos prihoda i primitaka'!$L$3:$L$501,"=64")</f>
        <v>0</v>
      </c>
      <c r="P11" s="126">
        <f>SUMIFS('Unos prihoda i primitaka'!$G$3:$G$501,'Unos prihoda i primitaka'!$C$3:$C$501,"=573",'Unos prihoda i primitaka'!$L$3:$L$501,"=64")</f>
        <v>0</v>
      </c>
      <c r="Q11" s="126">
        <f>SUMIFS('Unos prihoda i primitaka'!$G$3:$G$501,'Unos prihoda i primitaka'!$C$3:$C$501,"=575",'Unos prihoda i primitaka'!$L$3:$L$501,"=64")</f>
        <v>0</v>
      </c>
      <c r="R11" s="126">
        <f>SUMIFS('Unos prihoda i primitaka'!$G$3:$G$501,'Unos prihoda i primitaka'!$C$3:$C$501,"=576",'Unos prihoda i primitaka'!$L$3:$L$501,"=64")</f>
        <v>0</v>
      </c>
      <c r="S11" s="126">
        <f>SUMIFS('Unos prihoda i primitaka'!$G$3:$G$501,'Unos prihoda i primitaka'!$C$3:$C$501,"=581",'Unos prihoda i primitaka'!$L$3:$L$501,"=64")</f>
        <v>0</v>
      </c>
      <c r="T11" s="126">
        <f>SUMIFS('Unos prihoda i primitaka'!$G$3:$G$501,'Unos prihoda i primitaka'!$C$3:$C$501,"=61",'Unos prihoda i primitaka'!$L$3:$L$501,"=64")</f>
        <v>0</v>
      </c>
      <c r="U11" s="126">
        <f>SUMIFS('Unos prihoda i primitaka'!$G$3:$G$501,'Unos prihoda i primitaka'!$C$3:$C$501,"=63",'Unos prihoda i primitaka'!$L$3:$L$501,"=64")</f>
        <v>0</v>
      </c>
      <c r="V11" s="126">
        <f>SUMIFS('Unos prihoda i primitaka'!$G$3:$G$501,'Unos prihoda i primitaka'!$C$3:$C$501,"=71",'Unos prihoda i primitaka'!$L$3:$L$501,"=64")</f>
        <v>0</v>
      </c>
    </row>
    <row r="12" spans="1:22" s="41" customFormat="1" ht="25.5">
      <c r="A12" s="285">
        <v>2023</v>
      </c>
      <c r="B12" s="44" t="s">
        <v>5096</v>
      </c>
      <c r="C12" s="45" t="s">
        <v>5097</v>
      </c>
      <c r="D12" s="30">
        <f t="shared" si="1"/>
        <v>882282</v>
      </c>
      <c r="E12" s="126">
        <f>SUMIFS('Unos prihoda i primitaka'!$G$3:$G$501,'Unos prihoda i primitaka'!$C$3:$C$501,"=11",'Unos prihoda i primitaka'!$L$3:$L$501,"=65")</f>
        <v>0</v>
      </c>
      <c r="F12" s="126">
        <f>SUMIFS('Unos prihoda i primitaka'!$G$3:$G$501,'Unos prihoda i primitaka'!$C$3:$C$501,"=12",'Unos prihoda i primitaka'!$L$3:$L$501,"=65")</f>
        <v>0</v>
      </c>
      <c r="G12" s="126">
        <f>SUMIFS('Unos prihoda i primitaka'!$G$3:$G$501,'Unos prihoda i primitaka'!$C$3:$C$501,"=31",'Unos prihoda i primitaka'!$L$3:$L$501,"=65")</f>
        <v>0</v>
      </c>
      <c r="H12" s="126">
        <f>SUMIFS('Unos prihoda i primitaka'!$G$3:$G$501,'Unos prihoda i primitaka'!$C$3:$C$501,"=41",'Unos prihoda i primitaka'!$L$3:$L$501,"=65")</f>
        <v>0</v>
      </c>
      <c r="I12" s="126">
        <f>SUMIFS('Unos prihoda i primitaka'!$G$3:$G$501,'Unos prihoda i primitaka'!$C$3:$C$501,"=43",'Unos prihoda i primitaka'!$L$3:$L$501,"=65")</f>
        <v>882282</v>
      </c>
      <c r="J12" s="126">
        <f>SUMIFS('Unos prihoda i primitaka'!$G$3:$G$501,'Unos prihoda i primitaka'!$C$3:$C$501,"=51",'Unos prihoda i primitaka'!$L$3:$L$501,"=65")</f>
        <v>0</v>
      </c>
      <c r="K12" s="126">
        <f>SUMIFS('Unos prihoda i primitaka'!$G$3:$G$501,'Unos prihoda i primitaka'!$C$3:$C$501,"=52",'Unos prihoda i primitaka'!$L$3:$L$501,"=65")</f>
        <v>0</v>
      </c>
      <c r="L12" s="126">
        <f>SUMIFS('Unos prihoda i primitaka'!$G$3:$G$501,'Unos prihoda i primitaka'!$C$3:$C$501,"=552",'Unos prihoda i primitaka'!$L$3:$L$501,"=65")</f>
        <v>0</v>
      </c>
      <c r="M12" s="126">
        <f>SUMIFS('Unos prihoda i primitaka'!$G$3:$G$501,'Unos prihoda i primitaka'!$C$3:$C$501,"=559",'Unos prihoda i primitaka'!$L$3:$L$501,"=65")</f>
        <v>0</v>
      </c>
      <c r="N12" s="126">
        <f>SUMIFS('Unos prihoda i primitaka'!$G$3:$G$501,'Unos prihoda i primitaka'!$C$3:$C$501,"=561",'Unos prihoda i primitaka'!$L$3:$L$501,"=65")</f>
        <v>0</v>
      </c>
      <c r="O12" s="126">
        <f>SUMIFS('Unos prihoda i primitaka'!$G$3:$G$501,'Unos prihoda i primitaka'!$C$3:$C$501,"=563",'Unos prihoda i primitaka'!$L$3:$L$501,"=65")</f>
        <v>0</v>
      </c>
      <c r="P12" s="126">
        <f>SUMIFS('Unos prihoda i primitaka'!$G$3:$G$501,'Unos prihoda i primitaka'!$C$3:$C$501,"=573",'Unos prihoda i primitaka'!$L$3:$L$501,"=65")</f>
        <v>0</v>
      </c>
      <c r="Q12" s="126">
        <f>SUMIFS('Unos prihoda i primitaka'!$G$3:$G$501,'Unos prihoda i primitaka'!$C$3:$C$501,"=575",'Unos prihoda i primitaka'!$L$3:$L$501,"=65")</f>
        <v>0</v>
      </c>
      <c r="R12" s="126">
        <f>SUMIFS('Unos prihoda i primitaka'!$G$3:$G$501,'Unos prihoda i primitaka'!$C$3:$C$501,"=576",'Unos prihoda i primitaka'!$L$3:$L$501,"=65")</f>
        <v>0</v>
      </c>
      <c r="S12" s="126">
        <f>SUMIFS('Unos prihoda i primitaka'!$G$3:$G$501,'Unos prihoda i primitaka'!$C$3:$C$501,"=581",'Unos prihoda i primitaka'!$L$3:$L$501,"=65")</f>
        <v>0</v>
      </c>
      <c r="T12" s="126">
        <f>SUMIFS('Unos prihoda i primitaka'!$G$3:$G$501,'Unos prihoda i primitaka'!$C$3:$C$501,"=61",'Unos prihoda i primitaka'!$L$3:$L$501,"=65")</f>
        <v>0</v>
      </c>
      <c r="U12" s="126">
        <f>SUMIFS('Unos prihoda i primitaka'!$G$3:$G$501,'Unos prihoda i primitaka'!$C$3:$C$501,"=63",'Unos prihoda i primitaka'!$L$3:$L$501,"=65")</f>
        <v>0</v>
      </c>
      <c r="V12" s="126">
        <f>SUMIFS('Unos prihoda i primitaka'!$G$3:$G$501,'Unos prihoda i primitaka'!$C$3:$C$501,"=71",'Unos prihoda i primitaka'!$L$3:$L$501,"=65")</f>
        <v>0</v>
      </c>
    </row>
    <row r="13" spans="1:22" s="41" customFormat="1" ht="25.5">
      <c r="A13" s="285">
        <v>2023</v>
      </c>
      <c r="B13" s="140" t="s">
        <v>5099</v>
      </c>
      <c r="C13" s="45" t="s">
        <v>5098</v>
      </c>
      <c r="D13" s="30">
        <f t="shared" si="1"/>
        <v>291990</v>
      </c>
      <c r="E13" s="126">
        <f>SUMIFS('Unos prihoda i primitaka'!$G$3:$G$501,'Unos prihoda i primitaka'!$C$3:$C$501,"=11",'Unos prihoda i primitaka'!$L$3:$L$501,"=66")</f>
        <v>0</v>
      </c>
      <c r="F13" s="126">
        <f>SUMIFS('Unos prihoda i primitaka'!$G$3:$G$501,'Unos prihoda i primitaka'!$C$3:$C$501,"=12",'Unos prihoda i primitaka'!$L$3:$L$501,"=66")</f>
        <v>0</v>
      </c>
      <c r="G13" s="126">
        <f>SUMIFS('Unos prihoda i primitaka'!$G$3:$G$501,'Unos prihoda i primitaka'!$C$3:$C$501,"=31",'Unos prihoda i primitaka'!$L$3:$L$501,"=66")</f>
        <v>291990</v>
      </c>
      <c r="H13" s="126">
        <f>SUMIFS('Unos prihoda i primitaka'!$G$3:$G$501,'Unos prihoda i primitaka'!$C$3:$C$501,"=41",'Unos prihoda i primitaka'!$L$3:$L$501,"=66")</f>
        <v>0</v>
      </c>
      <c r="I13" s="126">
        <f>SUMIFS('Unos prihoda i primitaka'!$G$3:$G$501,'Unos prihoda i primitaka'!$C$3:$C$501,"=43",'Unos prihoda i primitaka'!$L$3:$L$501,"=66")</f>
        <v>0</v>
      </c>
      <c r="J13" s="126">
        <f>SUMIFS('Unos prihoda i primitaka'!$G$3:$G$501,'Unos prihoda i primitaka'!$C$3:$C$501,"=51",'Unos prihoda i primitaka'!$L$3:$L$501,"=66")</f>
        <v>0</v>
      </c>
      <c r="K13" s="126">
        <f>SUMIFS('Unos prihoda i primitaka'!$G$3:$G$501,'Unos prihoda i primitaka'!$C$3:$C$501,"=52",'Unos prihoda i primitaka'!$L$3:$L$501,"=66")</f>
        <v>0</v>
      </c>
      <c r="L13" s="126">
        <f>SUMIFS('Unos prihoda i primitaka'!$G$3:$G$501,'Unos prihoda i primitaka'!$C$3:$C$501,"=552",'Unos prihoda i primitaka'!$L$3:$L$501,"=66")</f>
        <v>0</v>
      </c>
      <c r="M13" s="126">
        <f>SUMIFS('Unos prihoda i primitaka'!$G$3:$G$501,'Unos prihoda i primitaka'!$C$3:$C$501,"=559",'Unos prihoda i primitaka'!$L$3:$L$501,"=66")</f>
        <v>0</v>
      </c>
      <c r="N13" s="126">
        <f>SUMIFS('Unos prihoda i primitaka'!$G$3:$G$501,'Unos prihoda i primitaka'!$C$3:$C$501,"=561",'Unos prihoda i primitaka'!$L$3:$L$501,"=66")</f>
        <v>0</v>
      </c>
      <c r="O13" s="126">
        <f>SUMIFS('Unos prihoda i primitaka'!$G$3:$G$501,'Unos prihoda i primitaka'!$C$3:$C$501,"=563",'Unos prihoda i primitaka'!$L$3:$L$501,"=66")</f>
        <v>0</v>
      </c>
      <c r="P13" s="126">
        <f>SUMIFS('Unos prihoda i primitaka'!$G$3:$G$501,'Unos prihoda i primitaka'!$C$3:$C$501,"=573",'Unos prihoda i primitaka'!$L$3:$L$501,"=66")</f>
        <v>0</v>
      </c>
      <c r="Q13" s="126">
        <f>SUMIFS('Unos prihoda i primitaka'!$G$3:$G$501,'Unos prihoda i primitaka'!$C$3:$C$501,"=575",'Unos prihoda i primitaka'!$L$3:$L$501,"=66")</f>
        <v>0</v>
      </c>
      <c r="R13" s="126">
        <f>SUMIFS('Unos prihoda i primitaka'!$G$3:$G$501,'Unos prihoda i primitaka'!$C$3:$C$501,"=576",'Unos prihoda i primitaka'!$L$3:$L$501,"=66")</f>
        <v>0</v>
      </c>
      <c r="S13" s="126">
        <f>SUMIFS('Unos prihoda i primitaka'!$G$3:$G$501,'Unos prihoda i primitaka'!$C$3:$C$501,"=581",'Unos prihoda i primitaka'!$L$3:$L$501,"=66")</f>
        <v>0</v>
      </c>
      <c r="T13" s="126">
        <f>SUMIFS('Unos prihoda i primitaka'!$G$3:$G$501,'Unos prihoda i primitaka'!$C$3:$C$501,"=61",'Unos prihoda i primitaka'!$L$3:$L$501,"=66")</f>
        <v>0</v>
      </c>
      <c r="U13" s="126">
        <f>SUMIFS('Unos prihoda i primitaka'!$G$3:$G$501,'Unos prihoda i primitaka'!$C$3:$C$501,"=63",'Unos prihoda i primitaka'!$L$3:$L$501,"=66")</f>
        <v>0</v>
      </c>
      <c r="V13" s="126">
        <f>SUMIFS('Unos prihoda i primitaka'!$G$3:$G$501,'Unos prihoda i primitaka'!$C$3:$C$501,"=71",'Unos prihoda i primitaka'!$L$3:$L$501,"=66")</f>
        <v>0</v>
      </c>
    </row>
    <row r="14" spans="1:22" s="41" customFormat="1" ht="25.5">
      <c r="A14" s="285">
        <v>2023</v>
      </c>
      <c r="B14" s="44" t="s">
        <v>5102</v>
      </c>
      <c r="C14" s="45" t="s">
        <v>5111</v>
      </c>
      <c r="D14" s="30">
        <f t="shared" si="1"/>
        <v>7198532</v>
      </c>
      <c r="E14" s="126">
        <f>SUMIFS('Unos prihoda i primitaka'!$G$3:$G$501,'Unos prihoda i primitaka'!$C$3:$C$501,"=11",'Unos prihoda i primitaka'!$L$3:$L$501,"=67")</f>
        <v>7198532</v>
      </c>
      <c r="F14" s="126">
        <f>SUMIFS('Unos prihoda i primitaka'!$G$3:$G$501,'Unos prihoda i primitaka'!$C$3:$C$501,"=12",'Unos prihoda i primitaka'!$L$3:$L$501,"=67")</f>
        <v>0</v>
      </c>
      <c r="G14" s="126">
        <f>SUMIFS('Unos prihoda i primitaka'!$G$3:$G$501,'Unos prihoda i primitaka'!$C$3:$C$501,"=31",'Unos prihoda i primitaka'!$L$3:$L$501,"=67")</f>
        <v>0</v>
      </c>
      <c r="H14" s="126">
        <f>SUMIFS('Unos prihoda i primitaka'!$G$3:$G$501,'Unos prihoda i primitaka'!$C$3:$C$501,"=41",'Unos prihoda i primitaka'!$L$3:$L$501,"=67")</f>
        <v>0</v>
      </c>
      <c r="I14" s="126">
        <f>SUMIFS('Unos prihoda i primitaka'!$G$3:$G$501,'Unos prihoda i primitaka'!$C$3:$C$501,"=43",'Unos prihoda i primitaka'!$L$3:$L$501,"=67")</f>
        <v>0</v>
      </c>
      <c r="J14" s="126">
        <f>SUMIFS('Unos prihoda i primitaka'!$G$3:$G$501,'Unos prihoda i primitaka'!$C$3:$C$501,"=51",'Unos prihoda i primitaka'!$L$3:$L$501,"=67")</f>
        <v>0</v>
      </c>
      <c r="K14" s="126">
        <f>SUMIFS('Unos prihoda i primitaka'!$G$3:$G$501,'Unos prihoda i primitaka'!$C$3:$C$501,"=52",'Unos prihoda i primitaka'!$L$3:$L$501,"=67")</f>
        <v>0</v>
      </c>
      <c r="L14" s="126">
        <f>SUMIFS('Unos prihoda i primitaka'!$G$3:$G$501,'Unos prihoda i primitaka'!$C$3:$C$501,"=552",'Unos prihoda i primitaka'!$L$3:$L$501,"=67")</f>
        <v>0</v>
      </c>
      <c r="M14" s="126">
        <f>SUMIFS('Unos prihoda i primitaka'!$G$3:$G$501,'Unos prihoda i primitaka'!$C$3:$C$501,"=559",'Unos prihoda i primitaka'!$L$3:$L$501,"=67")</f>
        <v>0</v>
      </c>
      <c r="N14" s="126">
        <f>SUMIFS('Unos prihoda i primitaka'!$G$3:$G$501,'Unos prihoda i primitaka'!$C$3:$C$501,"=561",'Unos prihoda i primitaka'!$L$3:$L$501,"=67")</f>
        <v>0</v>
      </c>
      <c r="O14" s="126">
        <f>SUMIFS('Unos prihoda i primitaka'!$G$3:$G$501,'Unos prihoda i primitaka'!$C$3:$C$501,"=563",'Unos prihoda i primitaka'!$L$3:$L$501,"=67")</f>
        <v>0</v>
      </c>
      <c r="P14" s="126">
        <f>SUMIFS('Unos prihoda i primitaka'!$G$3:$G$501,'Unos prihoda i primitaka'!$C$3:$C$501,"=573",'Unos prihoda i primitaka'!$L$3:$L$501,"=67")</f>
        <v>0</v>
      </c>
      <c r="Q14" s="126">
        <f>SUMIFS('Unos prihoda i primitaka'!$G$3:$G$501,'Unos prihoda i primitaka'!$C$3:$C$501,"=575",'Unos prihoda i primitaka'!$L$3:$L$501,"=67")</f>
        <v>0</v>
      </c>
      <c r="R14" s="126">
        <f>SUMIFS('Unos prihoda i primitaka'!$G$3:$G$501,'Unos prihoda i primitaka'!$C$3:$C$501,"=576",'Unos prihoda i primitaka'!$L$3:$L$501,"=67")</f>
        <v>0</v>
      </c>
      <c r="S14" s="126">
        <f>SUMIFS('Unos prihoda i primitaka'!$G$3:$G$501,'Unos prihoda i primitaka'!$C$3:$C$501,"=581",'Unos prihoda i primitaka'!$L$3:$L$501,"=67")</f>
        <v>0</v>
      </c>
      <c r="T14" s="126">
        <f>SUMIFS('Unos prihoda i primitaka'!$G$3:$G$501,'Unos prihoda i primitaka'!$C$3:$C$501,"=61",'Unos prihoda i primitaka'!$L$3:$L$501,"=67")</f>
        <v>0</v>
      </c>
      <c r="U14" s="126">
        <f>SUMIFS('Unos prihoda i primitaka'!$G$3:$G$501,'Unos prihoda i primitaka'!$C$3:$C$501,"=63",'Unos prihoda i primitaka'!$L$3:$L$501,"=67")</f>
        <v>0</v>
      </c>
      <c r="V14" s="126">
        <f>SUMIFS('Unos prihoda i primitaka'!$G$3:$G$501,'Unos prihoda i primitaka'!$C$3:$C$501,"=71",'Unos prihoda i primitaka'!$L$3:$L$501,"=67")</f>
        <v>0</v>
      </c>
    </row>
    <row r="15" spans="1:22" s="41" customFormat="1">
      <c r="A15" s="285">
        <v>2023</v>
      </c>
      <c r="B15" s="44" t="s">
        <v>5101</v>
      </c>
      <c r="C15" s="45" t="s">
        <v>5100</v>
      </c>
      <c r="D15" s="30">
        <f t="shared" si="1"/>
        <v>0</v>
      </c>
      <c r="E15" s="126">
        <f>SUMIFS('Unos prihoda i primitaka'!$G$3:$G$501,'Unos prihoda i primitaka'!$C$3:$C$501,"=11",'Unos prihoda i primitaka'!$L$3:$L$501,"=68")</f>
        <v>0</v>
      </c>
      <c r="F15" s="126">
        <f>SUMIFS('Unos prihoda i primitaka'!$G$3:$G$501,'Unos prihoda i primitaka'!$C$3:$C$501,"=12",'Unos prihoda i primitaka'!$L$3:$L$501,"=68")</f>
        <v>0</v>
      </c>
      <c r="G15" s="126">
        <f>SUMIFS('Unos prihoda i primitaka'!$G$3:$G$501,'Unos prihoda i primitaka'!$C$3:$C$501,"=31",'Unos prihoda i primitaka'!$L$3:$L$501,"=68")</f>
        <v>0</v>
      </c>
      <c r="H15" s="126">
        <f>SUMIFS('Unos prihoda i primitaka'!$G$3:$G$501,'Unos prihoda i primitaka'!$C$3:$C$501,"=41",'Unos prihoda i primitaka'!$L$3:$L$501,"=68")</f>
        <v>0</v>
      </c>
      <c r="I15" s="126">
        <f>SUMIFS('Unos prihoda i primitaka'!$G$3:$G$501,'Unos prihoda i primitaka'!$C$3:$C$501,"=43",'Unos prihoda i primitaka'!$L$3:$L$501,"=68")</f>
        <v>0</v>
      </c>
      <c r="J15" s="126">
        <f>SUMIFS('Unos prihoda i primitaka'!$G$3:$G$501,'Unos prihoda i primitaka'!$C$3:$C$501,"=51",'Unos prihoda i primitaka'!$L$3:$L$501,"=68")</f>
        <v>0</v>
      </c>
      <c r="K15" s="126">
        <f>SUMIFS('Unos prihoda i primitaka'!$G$3:$G$501,'Unos prihoda i primitaka'!$C$3:$C$501,"=52",'Unos prihoda i primitaka'!$L$3:$L$501,"=68")</f>
        <v>0</v>
      </c>
      <c r="L15" s="126">
        <f>SUMIFS('Unos prihoda i primitaka'!$G$3:$G$501,'Unos prihoda i primitaka'!$C$3:$C$501,"=552",'Unos prihoda i primitaka'!$L$3:$L$501,"=68")</f>
        <v>0</v>
      </c>
      <c r="M15" s="126">
        <f>SUMIFS('Unos prihoda i primitaka'!$G$3:$G$501,'Unos prihoda i primitaka'!$C$3:$C$501,"=559",'Unos prihoda i primitaka'!$L$3:$L$501,"=68")</f>
        <v>0</v>
      </c>
      <c r="N15" s="126">
        <f>SUMIFS('Unos prihoda i primitaka'!$G$3:$G$501,'Unos prihoda i primitaka'!$C$3:$C$501,"=561",'Unos prihoda i primitaka'!$L$3:$L$501,"=68")</f>
        <v>0</v>
      </c>
      <c r="O15" s="126">
        <f>SUMIFS('Unos prihoda i primitaka'!$G$3:$G$501,'Unos prihoda i primitaka'!$C$3:$C$501,"=563",'Unos prihoda i primitaka'!$L$3:$L$501,"=68")</f>
        <v>0</v>
      </c>
      <c r="P15" s="126">
        <f>SUMIFS('Unos prihoda i primitaka'!$G$3:$G$501,'Unos prihoda i primitaka'!$C$3:$C$501,"=573",'Unos prihoda i primitaka'!$L$3:$L$501,"=68")</f>
        <v>0</v>
      </c>
      <c r="Q15" s="126">
        <f>SUMIFS('Unos prihoda i primitaka'!$G$3:$G$501,'Unos prihoda i primitaka'!$C$3:$C$501,"=575",'Unos prihoda i primitaka'!$L$3:$L$501,"=68")</f>
        <v>0</v>
      </c>
      <c r="R15" s="126">
        <f>SUMIFS('Unos prihoda i primitaka'!$G$3:$G$501,'Unos prihoda i primitaka'!$C$3:$C$501,"=576",'Unos prihoda i primitaka'!$L$3:$L$501,"=68")</f>
        <v>0</v>
      </c>
      <c r="S15" s="126">
        <f>SUMIFS('Unos prihoda i primitaka'!$G$3:$G$501,'Unos prihoda i primitaka'!$C$3:$C$501,"=581",'Unos prihoda i primitaka'!$L$3:$L$501,"=68")</f>
        <v>0</v>
      </c>
      <c r="T15" s="126">
        <f>SUMIFS('Unos prihoda i primitaka'!$G$3:$G$501,'Unos prihoda i primitaka'!$C$3:$C$501,"=61",'Unos prihoda i primitaka'!$L$3:$L$501,"=68")</f>
        <v>0</v>
      </c>
      <c r="U15" s="126">
        <f>SUMIFS('Unos prihoda i primitaka'!$G$3:$G$501,'Unos prihoda i primitaka'!$C$3:$C$501,"=63",'Unos prihoda i primitaka'!$L$3:$L$501,"=68")</f>
        <v>0</v>
      </c>
      <c r="V15" s="126">
        <f>SUMIFS('Unos prihoda i primitaka'!$G$3:$G$501,'Unos prihoda i primitaka'!$C$3:$C$501,"=71",'Unos prihoda i primitaka'!$L$3:$L$501,"=68")</f>
        <v>0</v>
      </c>
    </row>
    <row r="16" spans="1:22" s="41" customFormat="1">
      <c r="A16" s="285">
        <v>2023</v>
      </c>
      <c r="B16" s="47" t="s">
        <v>247</v>
      </c>
      <c r="C16" s="48" t="s">
        <v>248</v>
      </c>
      <c r="D16" s="30">
        <f>SUM(E16:V16)</f>
        <v>16879629</v>
      </c>
      <c r="E16" s="4">
        <f t="shared" ref="E16:V16" si="2">SUM(E9:E15)</f>
        <v>7198532</v>
      </c>
      <c r="F16" s="4">
        <f t="shared" si="2"/>
        <v>0</v>
      </c>
      <c r="G16" s="4">
        <f t="shared" si="2"/>
        <v>291990</v>
      </c>
      <c r="H16" s="4">
        <f t="shared" si="2"/>
        <v>0</v>
      </c>
      <c r="I16" s="4">
        <f t="shared" si="2"/>
        <v>882282</v>
      </c>
      <c r="J16" s="4">
        <f t="shared" si="2"/>
        <v>73860</v>
      </c>
      <c r="K16" s="4">
        <f t="shared" si="2"/>
        <v>130922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4">
        <f t="shared" si="2"/>
        <v>0</v>
      </c>
      <c r="Q16" s="4">
        <f t="shared" si="2"/>
        <v>0</v>
      </c>
      <c r="R16" s="4">
        <f t="shared" si="2"/>
        <v>5003386</v>
      </c>
      <c r="S16" s="4">
        <f t="shared" si="2"/>
        <v>3298657</v>
      </c>
      <c r="T16" s="4">
        <f t="shared" si="2"/>
        <v>0</v>
      </c>
      <c r="U16" s="4">
        <f t="shared" si="2"/>
        <v>0</v>
      </c>
      <c r="V16" s="4">
        <f t="shared" si="2"/>
        <v>0</v>
      </c>
    </row>
    <row r="17" spans="1:22" s="41" customFormat="1">
      <c r="A17" s="285">
        <v>2023</v>
      </c>
      <c r="B17" s="44" t="s">
        <v>5103</v>
      </c>
      <c r="C17" s="49" t="s">
        <v>5104</v>
      </c>
      <c r="D17" s="30">
        <f t="shared" si="1"/>
        <v>0</v>
      </c>
      <c r="E17" s="126">
        <f>SUMIFS('Unos prihoda i primitaka'!$G$3:$G$501,'Unos prihoda i primitaka'!$C$3:$C$501,"=11",'Unos prihoda i primitaka'!$L$3:$L$501,"=71")</f>
        <v>0</v>
      </c>
      <c r="F17" s="126">
        <f>SUMIFS('Unos prihoda i primitaka'!$G$3:$G$501,'Unos prihoda i primitaka'!$C$3:$C$501,"=12",'Unos prihoda i primitaka'!$L$3:$L$501,"=71")</f>
        <v>0</v>
      </c>
      <c r="G17" s="126">
        <f>SUMIFS('Unos prihoda i primitaka'!$G$3:$G$501,'Unos prihoda i primitaka'!$C$3:$C$501,"=31",'Unos prihoda i primitaka'!$L$3:$L$501,"=71")</f>
        <v>0</v>
      </c>
      <c r="H17" s="126">
        <f>SUMIFS('Unos prihoda i primitaka'!$G$3:$G$501,'Unos prihoda i primitaka'!$C$3:$C$501,"=41",'Unos prihoda i primitaka'!$L$3:$L$501,"=71")</f>
        <v>0</v>
      </c>
      <c r="I17" s="126">
        <f>SUMIFS('Unos prihoda i primitaka'!$G$3:$G$501,'Unos prihoda i primitaka'!$C$3:$C$501,"=43",'Unos prihoda i primitaka'!$L$3:$L$501,"=71")</f>
        <v>0</v>
      </c>
      <c r="J17" s="126">
        <f>SUMIFS('Unos prihoda i primitaka'!$G$3:$G$501,'Unos prihoda i primitaka'!$C$3:$C$501,"=51",'Unos prihoda i primitaka'!$L$3:$L$501,"=71")</f>
        <v>0</v>
      </c>
      <c r="K17" s="126">
        <f>SUMIFS('Unos prihoda i primitaka'!$G$3:$G$501,'Unos prihoda i primitaka'!$C$3:$C$501,"=52",'Unos prihoda i primitaka'!$L$3:$L$501,"=71")</f>
        <v>0</v>
      </c>
      <c r="L17" s="126">
        <f>SUMIFS('Unos prihoda i primitaka'!$G$3:$G$501,'Unos prihoda i primitaka'!$C$3:$C$501,"=552",'Unos prihoda i primitaka'!$L$3:$L$501,"=71")</f>
        <v>0</v>
      </c>
      <c r="M17" s="126">
        <f>SUMIFS('Unos prihoda i primitaka'!$G$3:$G$501,'Unos prihoda i primitaka'!$C$3:$C$501,"=559",'Unos prihoda i primitaka'!$L$3:$L$501,"=71")</f>
        <v>0</v>
      </c>
      <c r="N17" s="126">
        <f>SUMIFS('Unos prihoda i primitaka'!$G$3:$G$501,'Unos prihoda i primitaka'!$C$3:$C$501,"=561",'Unos prihoda i primitaka'!$L$3:$L$501,"=71")</f>
        <v>0</v>
      </c>
      <c r="O17" s="126">
        <f>SUMIFS('Unos prihoda i primitaka'!$G$3:$G$501,'Unos prihoda i primitaka'!$C$3:$C$501,"=563",'Unos prihoda i primitaka'!$L$3:$L$501,"=71")</f>
        <v>0</v>
      </c>
      <c r="P17" s="126">
        <f>SUMIFS('Unos prihoda i primitaka'!$G$3:$G$501,'Unos prihoda i primitaka'!$C$3:$C$501,"=573",'Unos prihoda i primitaka'!$L$3:$L$501,"=71")</f>
        <v>0</v>
      </c>
      <c r="Q17" s="126">
        <f>SUMIFS('Unos prihoda i primitaka'!$G$3:$G$501,'Unos prihoda i primitaka'!$C$3:$C$501,"=575",'Unos prihoda i primitaka'!$L$3:$L$501,"=71")</f>
        <v>0</v>
      </c>
      <c r="R17" s="126">
        <f>SUMIFS('Unos prihoda i primitaka'!$G$3:$G$501,'Unos prihoda i primitaka'!$C$3:$C$501,"=576",'Unos prihoda i primitaka'!$L$3:$L$501,"=71")</f>
        <v>0</v>
      </c>
      <c r="S17" s="126">
        <f>SUMIFS('Unos prihoda i primitaka'!$G$3:$G$501,'Unos prihoda i primitaka'!$C$3:$C$501,"=581",'Unos prihoda i primitaka'!$L$3:$L$501,"=71")</f>
        <v>0</v>
      </c>
      <c r="T17" s="126">
        <f>SUMIFS('Unos prihoda i primitaka'!$G$3:$G$501,'Unos prihoda i primitaka'!$C$3:$C$501,"=61",'Unos prihoda i primitaka'!$L$3:$L$501,"=71")</f>
        <v>0</v>
      </c>
      <c r="U17" s="126">
        <f>SUMIFS('Unos prihoda i primitaka'!$G$3:$G$501,'Unos prihoda i primitaka'!$C$3:$C$501,"=63",'Unos prihoda i primitaka'!$L$3:$L$501,"=71")</f>
        <v>0</v>
      </c>
      <c r="V17" s="126">
        <f>SUMIFS('Unos prihoda i primitaka'!$G$3:$G$501,'Unos prihoda i primitaka'!$C$3:$C$501,"=71",'Unos prihoda i primitaka'!$L$3:$L$501,"=71")</f>
        <v>0</v>
      </c>
    </row>
    <row r="18" spans="1:22" s="41" customFormat="1">
      <c r="A18" s="285">
        <v>2023</v>
      </c>
      <c r="B18" s="44" t="s">
        <v>5105</v>
      </c>
      <c r="C18" s="49" t="s">
        <v>5106</v>
      </c>
      <c r="D18" s="30">
        <f t="shared" si="1"/>
        <v>0</v>
      </c>
      <c r="E18" s="126">
        <f>SUMIFS('Unos prihoda i primitaka'!$G$3:$G$501,'Unos prihoda i primitaka'!$C$3:$C$501,"=11",'Unos prihoda i primitaka'!$L$3:$L$501,"=72")</f>
        <v>0</v>
      </c>
      <c r="F18" s="126">
        <f>SUMIFS('Unos prihoda i primitaka'!$G$3:$G$501,'Unos prihoda i primitaka'!$C$3:$C$501,"=12",'Unos prihoda i primitaka'!$L$3:$L$501,"=72")</f>
        <v>0</v>
      </c>
      <c r="G18" s="126">
        <f>SUMIFS('Unos prihoda i primitaka'!$G$3:$G$501,'Unos prihoda i primitaka'!$C$3:$C$501,"=31",'Unos prihoda i primitaka'!$L$3:$L$501,"=72")</f>
        <v>0</v>
      </c>
      <c r="H18" s="126">
        <f>SUMIFS('Unos prihoda i primitaka'!$G$3:$G$501,'Unos prihoda i primitaka'!$C$3:$C$501,"=41",'Unos prihoda i primitaka'!$L$3:$L$501,"=72")</f>
        <v>0</v>
      </c>
      <c r="I18" s="126">
        <f>SUMIFS('Unos prihoda i primitaka'!$G$3:$G$501,'Unos prihoda i primitaka'!$C$3:$C$501,"=43",'Unos prihoda i primitaka'!$L$3:$L$501,"=72")</f>
        <v>0</v>
      </c>
      <c r="J18" s="126">
        <f>SUMIFS('Unos prihoda i primitaka'!$G$3:$G$501,'Unos prihoda i primitaka'!$C$3:$C$501,"=51",'Unos prihoda i primitaka'!$L$3:$L$501,"=72")</f>
        <v>0</v>
      </c>
      <c r="K18" s="126">
        <f>SUMIFS('Unos prihoda i primitaka'!$G$3:$G$501,'Unos prihoda i primitaka'!$C$3:$C$501,"=52",'Unos prihoda i primitaka'!$L$3:$L$501,"=72")</f>
        <v>0</v>
      </c>
      <c r="L18" s="126">
        <f>SUMIFS('Unos prihoda i primitaka'!$G$3:$G$501,'Unos prihoda i primitaka'!$C$3:$C$501,"=552",'Unos prihoda i primitaka'!$L$3:$L$501,"=72")</f>
        <v>0</v>
      </c>
      <c r="M18" s="126">
        <f>SUMIFS('Unos prihoda i primitaka'!$G$3:$G$501,'Unos prihoda i primitaka'!$C$3:$C$501,"=559",'Unos prihoda i primitaka'!$L$3:$L$501,"=72")</f>
        <v>0</v>
      </c>
      <c r="N18" s="126">
        <f>SUMIFS('Unos prihoda i primitaka'!$G$3:$G$501,'Unos prihoda i primitaka'!$C$3:$C$501,"=561",'Unos prihoda i primitaka'!$L$3:$L$501,"=72")</f>
        <v>0</v>
      </c>
      <c r="O18" s="126">
        <f>SUMIFS('Unos prihoda i primitaka'!$G$3:$G$501,'Unos prihoda i primitaka'!$C$3:$C$501,"=563",'Unos prihoda i primitaka'!$L$3:$L$501,"=72")</f>
        <v>0</v>
      </c>
      <c r="P18" s="126">
        <f>SUMIFS('Unos prihoda i primitaka'!$G$3:$G$501,'Unos prihoda i primitaka'!$C$3:$C$501,"=573",'Unos prihoda i primitaka'!$L$3:$L$501,"=72")</f>
        <v>0</v>
      </c>
      <c r="Q18" s="126">
        <f>SUMIFS('Unos prihoda i primitaka'!$G$3:$G$501,'Unos prihoda i primitaka'!$C$3:$C$501,"=575",'Unos prihoda i primitaka'!$L$3:$L$501,"=72")</f>
        <v>0</v>
      </c>
      <c r="R18" s="126">
        <f>SUMIFS('Unos prihoda i primitaka'!$G$3:$G$501,'Unos prihoda i primitaka'!$C$3:$C$501,"=576",'Unos prihoda i primitaka'!$L$3:$L$501,"=72")</f>
        <v>0</v>
      </c>
      <c r="S18" s="126">
        <f>SUMIFS('Unos prihoda i primitaka'!$G$3:$G$501,'Unos prihoda i primitaka'!$C$3:$C$501,"=581",'Unos prihoda i primitaka'!$L$3:$L$501,"=72")</f>
        <v>0</v>
      </c>
      <c r="T18" s="126">
        <f>SUMIFS('Unos prihoda i primitaka'!$G$3:$G$501,'Unos prihoda i primitaka'!$C$3:$C$501,"=61",'Unos prihoda i primitaka'!$L$3:$L$501,"=72")</f>
        <v>0</v>
      </c>
      <c r="U18" s="126">
        <f>SUMIFS('Unos prihoda i primitaka'!$G$3:$G$501,'Unos prihoda i primitaka'!$C$3:$C$501,"=63",'Unos prihoda i primitaka'!$L$3:$L$501,"=72")</f>
        <v>0</v>
      </c>
      <c r="V18" s="126">
        <f>SUMIFS('Unos prihoda i primitaka'!$G$3:$G$501,'Unos prihoda i primitaka'!$C$3:$C$501,"=71",'Unos prihoda i primitaka'!$L$3:$L$501,"=72")</f>
        <v>0</v>
      </c>
    </row>
    <row r="19" spans="1:22" s="41" customFormat="1">
      <c r="A19" s="285">
        <v>2023</v>
      </c>
      <c r="B19" s="47" t="s">
        <v>249</v>
      </c>
      <c r="C19" s="48" t="s">
        <v>248</v>
      </c>
      <c r="D19" s="30">
        <f>SUM(E19:V19)</f>
        <v>0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0</v>
      </c>
    </row>
    <row r="20" spans="1:22">
      <c r="B20" s="23"/>
      <c r="C20" s="23"/>
      <c r="D20" s="23"/>
      <c r="E20" s="23"/>
      <c r="F20" s="23"/>
      <c r="G20" s="23"/>
      <c r="H20" s="23"/>
      <c r="I20" s="52"/>
      <c r="J20" s="53"/>
      <c r="K20" s="53"/>
      <c r="L20" s="53"/>
      <c r="M20" s="53"/>
      <c r="N20" s="53"/>
      <c r="O20" s="53"/>
      <c r="P20" s="53"/>
      <c r="Q20" s="53"/>
      <c r="R20" s="53"/>
      <c r="S20" s="42"/>
    </row>
    <row r="21" spans="1:22" s="41" customFormat="1" ht="89.25">
      <c r="A21" s="284" t="s">
        <v>1710</v>
      </c>
      <c r="B21" s="43" t="s">
        <v>237</v>
      </c>
      <c r="C21" s="43" t="s">
        <v>238</v>
      </c>
      <c r="D21" s="181" t="s">
        <v>239</v>
      </c>
      <c r="E21" s="142" t="s">
        <v>260</v>
      </c>
      <c r="F21" s="142" t="s">
        <v>251</v>
      </c>
      <c r="G21" s="142" t="s">
        <v>16</v>
      </c>
      <c r="H21" s="142" t="s">
        <v>1230</v>
      </c>
      <c r="I21" s="142" t="s">
        <v>17</v>
      </c>
      <c r="J21" s="142" t="s">
        <v>240</v>
      </c>
      <c r="K21" s="142" t="s">
        <v>241</v>
      </c>
      <c r="L21" s="142" t="s">
        <v>1231</v>
      </c>
      <c r="M21" s="142" t="s">
        <v>242</v>
      </c>
      <c r="N21" s="142" t="s">
        <v>243</v>
      </c>
      <c r="O21" s="142" t="s">
        <v>244</v>
      </c>
      <c r="P21" s="142" t="s">
        <v>1232</v>
      </c>
      <c r="Q21" s="142" t="s">
        <v>1233</v>
      </c>
      <c r="R21" s="142" t="s">
        <v>1708</v>
      </c>
      <c r="S21" s="2" t="s">
        <v>3021</v>
      </c>
      <c r="T21" s="142" t="s">
        <v>245</v>
      </c>
      <c r="U21" s="2" t="s">
        <v>246</v>
      </c>
      <c r="V21" s="2" t="s">
        <v>250</v>
      </c>
    </row>
    <row r="22" spans="1:22" s="41" customFormat="1" ht="20.25" customHeight="1">
      <c r="A22" s="285">
        <v>2024</v>
      </c>
      <c r="B22" s="254">
        <v>2024</v>
      </c>
      <c r="C22" s="254" t="s">
        <v>5196</v>
      </c>
      <c r="D22" s="66">
        <f>SUM(E22:V22)</f>
        <v>9209347</v>
      </c>
      <c r="E22" s="66">
        <f t="shared" ref="E22:V22" si="4">+E33+E30</f>
        <v>7228357</v>
      </c>
      <c r="F22" s="66">
        <f t="shared" si="4"/>
        <v>0</v>
      </c>
      <c r="G22" s="66">
        <f t="shared" si="4"/>
        <v>301042</v>
      </c>
      <c r="H22" s="66">
        <f t="shared" si="4"/>
        <v>0</v>
      </c>
      <c r="I22" s="66">
        <f t="shared" si="4"/>
        <v>1573628</v>
      </c>
      <c r="J22" s="66">
        <f t="shared" si="4"/>
        <v>24930</v>
      </c>
      <c r="K22" s="66">
        <f t="shared" si="4"/>
        <v>81390</v>
      </c>
      <c r="L22" s="66">
        <f t="shared" si="4"/>
        <v>0</v>
      </c>
      <c r="M22" s="66">
        <f t="shared" si="4"/>
        <v>0</v>
      </c>
      <c r="N22" s="66">
        <f t="shared" si="4"/>
        <v>0</v>
      </c>
      <c r="O22" s="66">
        <f t="shared" si="4"/>
        <v>0</v>
      </c>
      <c r="P22" s="66">
        <f t="shared" si="4"/>
        <v>0</v>
      </c>
      <c r="Q22" s="66">
        <f t="shared" si="4"/>
        <v>0</v>
      </c>
      <c r="R22" s="66">
        <f t="shared" si="4"/>
        <v>0</v>
      </c>
      <c r="S22" s="66">
        <f t="shared" si="4"/>
        <v>0</v>
      </c>
      <c r="T22" s="66">
        <f t="shared" si="4"/>
        <v>0</v>
      </c>
      <c r="U22" s="66">
        <f t="shared" si="4"/>
        <v>0</v>
      </c>
      <c r="V22" s="66">
        <f t="shared" si="4"/>
        <v>0</v>
      </c>
    </row>
    <row r="23" spans="1:22" s="41" customFormat="1">
      <c r="A23" s="285">
        <v>2024</v>
      </c>
      <c r="B23" s="46" t="s">
        <v>5091</v>
      </c>
      <c r="C23" s="59" t="s">
        <v>5090</v>
      </c>
      <c r="D23" s="30">
        <f t="shared" ref="D23:D33" si="5">SUM(E23:V23)</f>
        <v>0</v>
      </c>
      <c r="E23" s="126">
        <f>SUMIFS('Unos prihoda i primitaka'!$H$3:$H$501,'Unos prihoda i primitaka'!$C$3:$C$501,"=11",'Unos prihoda i primitaka'!$L$3:$L$501,"=61")</f>
        <v>0</v>
      </c>
      <c r="F23" s="126">
        <f>SUMIFS('Unos prihoda i primitaka'!$H$3:$H$501,'Unos prihoda i primitaka'!$C$3:$C$501,"=12",'Unos prihoda i primitaka'!$L$3:$L$501,"=61")</f>
        <v>0</v>
      </c>
      <c r="G23" s="126">
        <f>SUMIFS('Unos prihoda i primitaka'!$H$3:$H$501,'Unos prihoda i primitaka'!$C$3:$C$501,"=31",'Unos prihoda i primitaka'!$L$3:$L$501,"=61")</f>
        <v>0</v>
      </c>
      <c r="H23" s="126">
        <f>SUMIFS('Unos prihoda i primitaka'!$H$3:$H$501,'Unos prihoda i primitaka'!$C$3:$C$501,"=41",'Unos prihoda i primitaka'!$L$3:$L$501,"=61")</f>
        <v>0</v>
      </c>
      <c r="I23" s="126">
        <f>SUMIFS('Unos prihoda i primitaka'!$H$3:$H$501,'Unos prihoda i primitaka'!$C$3:$C$501,"=43",'Unos prihoda i primitaka'!$L$3:$L$501,"=61")</f>
        <v>0</v>
      </c>
      <c r="J23" s="126">
        <f>SUMIFS('Unos prihoda i primitaka'!$H$3:$H$501,'Unos prihoda i primitaka'!$C$3:$C$501,"=51",'Unos prihoda i primitaka'!$L$3:$L$501,"=61")</f>
        <v>0</v>
      </c>
      <c r="K23" s="126">
        <f>SUMIFS('Unos prihoda i primitaka'!$H$3:$H$501,'Unos prihoda i primitaka'!$C$3:$C$501,"=52",'Unos prihoda i primitaka'!$L$3:$L$501,"=61")</f>
        <v>0</v>
      </c>
      <c r="L23" s="126">
        <f>SUMIFS('Unos prihoda i primitaka'!$H$3:$H$501,'Unos prihoda i primitaka'!$C$3:$C$501,"=552",'Unos prihoda i primitaka'!$L$3:$L$501,"=61")</f>
        <v>0</v>
      </c>
      <c r="M23" s="126">
        <f>SUMIFS('Unos prihoda i primitaka'!$H$3:$H$501,'Unos prihoda i primitaka'!$C$3:$C$501,"=559",'Unos prihoda i primitaka'!$L$3:$L$501,"=61")</f>
        <v>0</v>
      </c>
      <c r="N23" s="126">
        <f>SUMIFS('Unos prihoda i primitaka'!$H$3:$H$501,'Unos prihoda i primitaka'!$C$3:$C$501,"=561",'Unos prihoda i primitaka'!$L$3:$L$501,"=61")</f>
        <v>0</v>
      </c>
      <c r="O23" s="126">
        <f>SUMIFS('Unos prihoda i primitaka'!$H$3:$H$501,'Unos prihoda i primitaka'!$C$3:$C$501,"=563",'Unos prihoda i primitaka'!$L$3:$L$501,"=61")</f>
        <v>0</v>
      </c>
      <c r="P23" s="126">
        <f>SUMIFS('Unos prihoda i primitaka'!$H$3:$H$501,'Unos prihoda i primitaka'!$C$3:$C$501,"=573",'Unos prihoda i primitaka'!$L$3:$L$501,"=61")</f>
        <v>0</v>
      </c>
      <c r="Q23" s="126">
        <f>SUMIFS('Unos prihoda i primitaka'!$H$3:$H$501,'Unos prihoda i primitaka'!$C$3:$C$501,"=575",'Unos prihoda i primitaka'!$L$3:$L$501,"=61")</f>
        <v>0</v>
      </c>
      <c r="R23" s="126">
        <f>SUMIFS('Unos prihoda i primitaka'!$H$3:$H$501,'Unos prihoda i primitaka'!$C$3:$C$501,"=576",'Unos prihoda i primitaka'!$L$3:$L$501,"=61")</f>
        <v>0</v>
      </c>
      <c r="S23" s="126">
        <f>SUMIFS('Unos prihoda i primitaka'!$H$3:$H$501,'Unos prihoda i primitaka'!$C$3:$C$501,"=581",'Unos prihoda i primitaka'!$L$3:$L$501,"=61")</f>
        <v>0</v>
      </c>
      <c r="T23" s="126">
        <f>SUMIFS('Unos prihoda i primitaka'!$H$3:$H$501,'Unos prihoda i primitaka'!$C$3:$C$501,"=61",'Unos prihoda i primitaka'!$L$3:$L$501,"=61")</f>
        <v>0</v>
      </c>
      <c r="U23" s="126">
        <f>SUMIFS('Unos prihoda i primitaka'!$H$3:$H$501,'Unos prihoda i primitaka'!$C$3:$C$501,"=63",'Unos prihoda i primitaka'!$L$3:$L$501,"=61")</f>
        <v>0</v>
      </c>
      <c r="V23" s="126">
        <f>SUMIFS('Unos prihoda i primitaka'!$H$3:$H$501,'Unos prihoda i primitaka'!$C$3:$C$501,"=71",'Unos prihoda i primitaka'!$L$3:$L$501,"=61")</f>
        <v>0</v>
      </c>
    </row>
    <row r="24" spans="1:22" s="41" customFormat="1" ht="25.5">
      <c r="A24" s="285">
        <v>2024</v>
      </c>
      <c r="B24" s="46" t="s">
        <v>5093</v>
      </c>
      <c r="C24" s="59" t="s">
        <v>5092</v>
      </c>
      <c r="D24" s="30">
        <f t="shared" si="5"/>
        <v>106320</v>
      </c>
      <c r="E24" s="126">
        <f>SUMIFS('Unos prihoda i primitaka'!$H$3:$H$501,'Unos prihoda i primitaka'!$C$3:$C$501,"=11",'Unos prihoda i primitaka'!$L$3:$L$501,"=63")</f>
        <v>0</v>
      </c>
      <c r="F24" s="126">
        <f>SUMIFS('Unos prihoda i primitaka'!$H$3:$H$501,'Unos prihoda i primitaka'!$C$3:$C$501,"=12",'Unos prihoda i primitaka'!$L$3:$L$501,"=63")</f>
        <v>0</v>
      </c>
      <c r="G24" s="126">
        <f>SUMIFS('Unos prihoda i primitaka'!$H$3:$H$501,'Unos prihoda i primitaka'!$C$3:$C$501,"=31",'Unos prihoda i primitaka'!$L$3:$L$501,"=63")</f>
        <v>0</v>
      </c>
      <c r="H24" s="126">
        <f>SUMIFS('Unos prihoda i primitaka'!$H$3:$H$501,'Unos prihoda i primitaka'!$C$3:$C$501,"=41",'Unos prihoda i primitaka'!$L$3:$L$501,"=63")</f>
        <v>0</v>
      </c>
      <c r="I24" s="126">
        <f>SUMIFS('Unos prihoda i primitaka'!$H$3:$H$501,'Unos prihoda i primitaka'!$C$3:$C$501,"=43",'Unos prihoda i primitaka'!$L$3:$L$501,"=63")</f>
        <v>0</v>
      </c>
      <c r="J24" s="126">
        <f>SUMIFS('Unos prihoda i primitaka'!$H$3:$H$501,'Unos prihoda i primitaka'!$C$3:$C$501,"=51",'Unos prihoda i primitaka'!$L$3:$L$501,"=63")</f>
        <v>24930</v>
      </c>
      <c r="K24" s="126">
        <f>SUMIFS('Unos prihoda i primitaka'!$H$3:$H$501,'Unos prihoda i primitaka'!$C$3:$C$501,"=52",'Unos prihoda i primitaka'!$L$3:$L$501,"=63")</f>
        <v>81390</v>
      </c>
      <c r="L24" s="126">
        <f>SUMIFS('Unos prihoda i primitaka'!$H$3:$H$501,'Unos prihoda i primitaka'!$C$3:$C$501,"=552",'Unos prihoda i primitaka'!$L$3:$L$501,"=63")</f>
        <v>0</v>
      </c>
      <c r="M24" s="126">
        <f>SUMIFS('Unos prihoda i primitaka'!$H$3:$H$501,'Unos prihoda i primitaka'!$C$3:$C$501,"=559",'Unos prihoda i primitaka'!$L$3:$L$501,"=63")</f>
        <v>0</v>
      </c>
      <c r="N24" s="126">
        <f>SUMIFS('Unos prihoda i primitaka'!$H$3:$H$501,'Unos prihoda i primitaka'!$C$3:$C$501,"=561",'Unos prihoda i primitaka'!$L$3:$L$501,"=63")</f>
        <v>0</v>
      </c>
      <c r="O24" s="126">
        <f>SUMIFS('Unos prihoda i primitaka'!$H$3:$H$501,'Unos prihoda i primitaka'!$C$3:$C$501,"=563",'Unos prihoda i primitaka'!$L$3:$L$501,"=63")</f>
        <v>0</v>
      </c>
      <c r="P24" s="126">
        <f>SUMIFS('Unos prihoda i primitaka'!$H$3:$H$501,'Unos prihoda i primitaka'!$C$3:$C$501,"=573",'Unos prihoda i primitaka'!$L$3:$L$501,"=63")</f>
        <v>0</v>
      </c>
      <c r="Q24" s="126">
        <f>SUMIFS('Unos prihoda i primitaka'!$H$3:$H$501,'Unos prihoda i primitaka'!$C$3:$C$501,"=575",'Unos prihoda i primitaka'!$L$3:$L$501,"=63")</f>
        <v>0</v>
      </c>
      <c r="R24" s="126">
        <f>SUMIFS('Unos prihoda i primitaka'!$H$3:$H$501,'Unos prihoda i primitaka'!$C$3:$C$501,"=576",'Unos prihoda i primitaka'!$L$3:$L$501,"=63")</f>
        <v>0</v>
      </c>
      <c r="S24" s="126">
        <f>SUMIFS('Unos prihoda i primitaka'!$H$3:$H$501,'Unos prihoda i primitaka'!$C$3:$C$501,"=581",'Unos prihoda i primitaka'!$L$3:$L$501,"=63")</f>
        <v>0</v>
      </c>
      <c r="T24" s="126">
        <f>SUMIFS('Unos prihoda i primitaka'!$H$3:$H$501,'Unos prihoda i primitaka'!$C$3:$C$501,"=61",'Unos prihoda i primitaka'!$L$3:$L$501,"=63")</f>
        <v>0</v>
      </c>
      <c r="U24" s="126">
        <f>SUMIFS('Unos prihoda i primitaka'!$H$3:$H$501,'Unos prihoda i primitaka'!$C$3:$C$501,"=63",'Unos prihoda i primitaka'!$L$3:$L$501,"=63")</f>
        <v>0</v>
      </c>
      <c r="V24" s="126">
        <f>SUMIFS('Unos prihoda i primitaka'!$H$3:$H$501,'Unos prihoda i primitaka'!$C$3:$C$501,"=71",'Unos prihoda i primitaka'!$L$3:$L$501,"=63")</f>
        <v>0</v>
      </c>
    </row>
    <row r="25" spans="1:22" s="41" customFormat="1">
      <c r="A25" s="285">
        <v>2024</v>
      </c>
      <c r="B25" s="44" t="s">
        <v>5095</v>
      </c>
      <c r="C25" s="45" t="s">
        <v>5094</v>
      </c>
      <c r="D25" s="30">
        <f t="shared" si="5"/>
        <v>0</v>
      </c>
      <c r="E25" s="126">
        <f>SUMIFS('Unos prihoda i primitaka'!$H$3:$H$501,'Unos prihoda i primitaka'!$C$3:$C$501,"=11",'Unos prihoda i primitaka'!$L$3:$L$501,"=64")</f>
        <v>0</v>
      </c>
      <c r="F25" s="126">
        <f>SUMIFS('Unos prihoda i primitaka'!$H$3:$H$501,'Unos prihoda i primitaka'!$C$3:$C$501,"=12",'Unos prihoda i primitaka'!$L$3:$L$501,"=64")</f>
        <v>0</v>
      </c>
      <c r="G25" s="126">
        <f>SUMIFS('Unos prihoda i primitaka'!$H$3:$H$501,'Unos prihoda i primitaka'!$C$3:$C$501,"=31",'Unos prihoda i primitaka'!$L$3:$L$501,"=64")</f>
        <v>0</v>
      </c>
      <c r="H25" s="126">
        <f>SUMIFS('Unos prihoda i primitaka'!$H$3:$H$501,'Unos prihoda i primitaka'!$C$3:$C$501,"=41",'Unos prihoda i primitaka'!$L$3:$L$501,"=64")</f>
        <v>0</v>
      </c>
      <c r="I25" s="126">
        <f>SUMIFS('Unos prihoda i primitaka'!$H$3:$H$501,'Unos prihoda i primitaka'!$C$3:$C$501,"=43",'Unos prihoda i primitaka'!$L$3:$L$501,"=64")</f>
        <v>0</v>
      </c>
      <c r="J25" s="126">
        <f>SUMIFS('Unos prihoda i primitaka'!$H$3:$H$501,'Unos prihoda i primitaka'!$C$3:$C$501,"=51",'Unos prihoda i primitaka'!$L$3:$L$501,"=64")</f>
        <v>0</v>
      </c>
      <c r="K25" s="126">
        <f>SUMIFS('Unos prihoda i primitaka'!$H$3:$H$501,'Unos prihoda i primitaka'!$C$3:$C$501,"=52",'Unos prihoda i primitaka'!$L$3:$L$501,"=64")</f>
        <v>0</v>
      </c>
      <c r="L25" s="126">
        <f>SUMIFS('Unos prihoda i primitaka'!$H$3:$H$501,'Unos prihoda i primitaka'!$C$3:$C$501,"=552",'Unos prihoda i primitaka'!$L$3:$L$501,"=64")</f>
        <v>0</v>
      </c>
      <c r="M25" s="126">
        <f>SUMIFS('Unos prihoda i primitaka'!$H$3:$H$501,'Unos prihoda i primitaka'!$C$3:$C$501,"=559",'Unos prihoda i primitaka'!$L$3:$L$501,"=64")</f>
        <v>0</v>
      </c>
      <c r="N25" s="126">
        <f>SUMIFS('Unos prihoda i primitaka'!$H$3:$H$501,'Unos prihoda i primitaka'!$C$3:$C$501,"=561",'Unos prihoda i primitaka'!$L$3:$L$501,"=64")</f>
        <v>0</v>
      </c>
      <c r="O25" s="126">
        <f>SUMIFS('Unos prihoda i primitaka'!$H$3:$H$501,'Unos prihoda i primitaka'!$C$3:$C$501,"=563",'Unos prihoda i primitaka'!$L$3:$L$501,"=64")</f>
        <v>0</v>
      </c>
      <c r="P25" s="126">
        <f>SUMIFS('Unos prihoda i primitaka'!$H$3:$H$501,'Unos prihoda i primitaka'!$C$3:$C$501,"=573",'Unos prihoda i primitaka'!$L$3:$L$501,"=64")</f>
        <v>0</v>
      </c>
      <c r="Q25" s="126">
        <f>SUMIFS('Unos prihoda i primitaka'!$H$3:$H$501,'Unos prihoda i primitaka'!$C$3:$C$501,"=575",'Unos prihoda i primitaka'!$L$3:$L$501,"=64")</f>
        <v>0</v>
      </c>
      <c r="R25" s="126">
        <f>SUMIFS('Unos prihoda i primitaka'!$H$3:$H$501,'Unos prihoda i primitaka'!$C$3:$C$501,"=576",'Unos prihoda i primitaka'!$L$3:$L$501,"=64")</f>
        <v>0</v>
      </c>
      <c r="S25" s="126">
        <f>SUMIFS('Unos prihoda i primitaka'!$H$3:$H$501,'Unos prihoda i primitaka'!$C$3:$C$501,"=581",'Unos prihoda i primitaka'!$L$3:$L$501,"=64")</f>
        <v>0</v>
      </c>
      <c r="T25" s="126">
        <f>SUMIFS('Unos prihoda i primitaka'!$H$3:$H$501,'Unos prihoda i primitaka'!$C$3:$C$501,"=61",'Unos prihoda i primitaka'!$L$3:$L$501,"=64")</f>
        <v>0</v>
      </c>
      <c r="U25" s="126">
        <f>SUMIFS('Unos prihoda i primitaka'!$H$3:$H$501,'Unos prihoda i primitaka'!$C$3:$C$501,"=63",'Unos prihoda i primitaka'!$L$3:$L$501,"=64")</f>
        <v>0</v>
      </c>
      <c r="V25" s="126">
        <f>SUMIFS('Unos prihoda i primitaka'!$H$3:$H$501,'Unos prihoda i primitaka'!$C$3:$C$501,"=71",'Unos prihoda i primitaka'!$L$3:$L$501,"=64")</f>
        <v>0</v>
      </c>
    </row>
    <row r="26" spans="1:22" s="41" customFormat="1" ht="25.5">
      <c r="A26" s="285">
        <v>2024</v>
      </c>
      <c r="B26" s="44" t="s">
        <v>5096</v>
      </c>
      <c r="C26" s="45" t="s">
        <v>5097</v>
      </c>
      <c r="D26" s="30">
        <f t="shared" si="5"/>
        <v>1573628</v>
      </c>
      <c r="E26" s="126">
        <f>SUMIFS('Unos prihoda i primitaka'!$H$3:$H$501,'Unos prihoda i primitaka'!$C$3:$C$501,"=11",'Unos prihoda i primitaka'!$L$3:$L$501,"=65")</f>
        <v>0</v>
      </c>
      <c r="F26" s="126">
        <f>SUMIFS('Unos prihoda i primitaka'!$H$3:$H$501,'Unos prihoda i primitaka'!$C$3:$C$501,"=12",'Unos prihoda i primitaka'!$L$3:$L$501,"=65")</f>
        <v>0</v>
      </c>
      <c r="G26" s="126">
        <f>SUMIFS('Unos prihoda i primitaka'!$H$3:$H$501,'Unos prihoda i primitaka'!$C$3:$C$501,"=31",'Unos prihoda i primitaka'!$L$3:$L$501,"=65")</f>
        <v>0</v>
      </c>
      <c r="H26" s="126">
        <f>SUMIFS('Unos prihoda i primitaka'!$H$3:$H$501,'Unos prihoda i primitaka'!$C$3:$C$501,"=41",'Unos prihoda i primitaka'!$L$3:$L$501,"=65")</f>
        <v>0</v>
      </c>
      <c r="I26" s="126">
        <f>SUMIFS('Unos prihoda i primitaka'!$H$3:$H$501,'Unos prihoda i primitaka'!$C$3:$C$501,"=43",'Unos prihoda i primitaka'!$L$3:$L$501,"=65")</f>
        <v>1573628</v>
      </c>
      <c r="J26" s="126">
        <f>SUMIFS('Unos prihoda i primitaka'!$H$3:$H$501,'Unos prihoda i primitaka'!$C$3:$C$501,"=51",'Unos prihoda i primitaka'!$L$3:$L$501,"=65")</f>
        <v>0</v>
      </c>
      <c r="K26" s="126">
        <f>SUMIFS('Unos prihoda i primitaka'!$H$3:$H$501,'Unos prihoda i primitaka'!$C$3:$C$501,"=52",'Unos prihoda i primitaka'!$L$3:$L$501,"=65")</f>
        <v>0</v>
      </c>
      <c r="L26" s="126">
        <f>SUMIFS('Unos prihoda i primitaka'!$H$3:$H$501,'Unos prihoda i primitaka'!$C$3:$C$501,"=552",'Unos prihoda i primitaka'!$L$3:$L$501,"=65")</f>
        <v>0</v>
      </c>
      <c r="M26" s="126">
        <f>SUMIFS('Unos prihoda i primitaka'!$H$3:$H$501,'Unos prihoda i primitaka'!$C$3:$C$501,"=559",'Unos prihoda i primitaka'!$L$3:$L$501,"=65")</f>
        <v>0</v>
      </c>
      <c r="N26" s="126">
        <f>SUMIFS('Unos prihoda i primitaka'!$H$3:$H$501,'Unos prihoda i primitaka'!$C$3:$C$501,"=561",'Unos prihoda i primitaka'!$L$3:$L$501,"=65")</f>
        <v>0</v>
      </c>
      <c r="O26" s="126">
        <f>SUMIFS('Unos prihoda i primitaka'!$H$3:$H$501,'Unos prihoda i primitaka'!$C$3:$C$501,"=563",'Unos prihoda i primitaka'!$L$3:$L$501,"=65")</f>
        <v>0</v>
      </c>
      <c r="P26" s="126">
        <f>SUMIFS('Unos prihoda i primitaka'!$H$3:$H$501,'Unos prihoda i primitaka'!$C$3:$C$501,"=573",'Unos prihoda i primitaka'!$L$3:$L$501,"=65")</f>
        <v>0</v>
      </c>
      <c r="Q26" s="126">
        <f>SUMIFS('Unos prihoda i primitaka'!$H$3:$H$501,'Unos prihoda i primitaka'!$C$3:$C$501,"=575",'Unos prihoda i primitaka'!$L$3:$L$501,"=65")</f>
        <v>0</v>
      </c>
      <c r="R26" s="126">
        <f>SUMIFS('Unos prihoda i primitaka'!$H$3:$H$501,'Unos prihoda i primitaka'!$C$3:$C$501,"=576",'Unos prihoda i primitaka'!$L$3:$L$501,"=65")</f>
        <v>0</v>
      </c>
      <c r="S26" s="126">
        <f>SUMIFS('Unos prihoda i primitaka'!$H$3:$H$501,'Unos prihoda i primitaka'!$C$3:$C$501,"=581",'Unos prihoda i primitaka'!$L$3:$L$501,"=65")</f>
        <v>0</v>
      </c>
      <c r="T26" s="126">
        <f>SUMIFS('Unos prihoda i primitaka'!$H$3:$H$501,'Unos prihoda i primitaka'!$C$3:$C$501,"=61",'Unos prihoda i primitaka'!$L$3:$L$501,"=65")</f>
        <v>0</v>
      </c>
      <c r="U26" s="126">
        <f>SUMIFS('Unos prihoda i primitaka'!$H$3:$H$501,'Unos prihoda i primitaka'!$C$3:$C$501,"=63",'Unos prihoda i primitaka'!$L$3:$L$501,"=65")</f>
        <v>0</v>
      </c>
      <c r="V26" s="126">
        <f>SUMIFS('Unos prihoda i primitaka'!$H$3:$H$501,'Unos prihoda i primitaka'!$C$3:$C$501,"=71",'Unos prihoda i primitaka'!$L$3:$L$501,"=65")</f>
        <v>0</v>
      </c>
    </row>
    <row r="27" spans="1:22" s="41" customFormat="1" ht="25.5">
      <c r="A27" s="285">
        <v>2024</v>
      </c>
      <c r="B27" s="140" t="s">
        <v>5099</v>
      </c>
      <c r="C27" s="45" t="s">
        <v>5098</v>
      </c>
      <c r="D27" s="30">
        <f t="shared" si="5"/>
        <v>301042</v>
      </c>
      <c r="E27" s="126">
        <f>SUMIFS('Unos prihoda i primitaka'!$H$3:$H$501,'Unos prihoda i primitaka'!$C$3:$C$501,"=11",'Unos prihoda i primitaka'!$L$3:$L$501,"=66")</f>
        <v>0</v>
      </c>
      <c r="F27" s="126">
        <f>SUMIFS('Unos prihoda i primitaka'!$H$3:$H$501,'Unos prihoda i primitaka'!$C$3:$C$501,"=12",'Unos prihoda i primitaka'!$L$3:$L$501,"=66")</f>
        <v>0</v>
      </c>
      <c r="G27" s="126">
        <f>SUMIFS('Unos prihoda i primitaka'!$H$3:$H$501,'Unos prihoda i primitaka'!$C$3:$C$501,"=31",'Unos prihoda i primitaka'!$L$3:$L$501,"=66")</f>
        <v>301042</v>
      </c>
      <c r="H27" s="126">
        <f>SUMIFS('Unos prihoda i primitaka'!$H$3:$H$501,'Unos prihoda i primitaka'!$C$3:$C$501,"=41",'Unos prihoda i primitaka'!$L$3:$L$501,"=66")</f>
        <v>0</v>
      </c>
      <c r="I27" s="126">
        <f>SUMIFS('Unos prihoda i primitaka'!$H$3:$H$501,'Unos prihoda i primitaka'!$C$3:$C$501,"=43",'Unos prihoda i primitaka'!$L$3:$L$501,"=66")</f>
        <v>0</v>
      </c>
      <c r="J27" s="126">
        <f>SUMIFS('Unos prihoda i primitaka'!$H$3:$H$501,'Unos prihoda i primitaka'!$C$3:$C$501,"=51",'Unos prihoda i primitaka'!$L$3:$L$501,"=66")</f>
        <v>0</v>
      </c>
      <c r="K27" s="126">
        <f>SUMIFS('Unos prihoda i primitaka'!$H$3:$H$501,'Unos prihoda i primitaka'!$C$3:$C$501,"=52",'Unos prihoda i primitaka'!$L$3:$L$501,"=66")</f>
        <v>0</v>
      </c>
      <c r="L27" s="126">
        <f>SUMIFS('Unos prihoda i primitaka'!$H$3:$H$501,'Unos prihoda i primitaka'!$C$3:$C$501,"=552",'Unos prihoda i primitaka'!$L$3:$L$501,"=66")</f>
        <v>0</v>
      </c>
      <c r="M27" s="126">
        <f>SUMIFS('Unos prihoda i primitaka'!$H$3:$H$501,'Unos prihoda i primitaka'!$C$3:$C$501,"=559",'Unos prihoda i primitaka'!$L$3:$L$501,"=66")</f>
        <v>0</v>
      </c>
      <c r="N27" s="126">
        <f>SUMIFS('Unos prihoda i primitaka'!$H$3:$H$501,'Unos prihoda i primitaka'!$C$3:$C$501,"=561",'Unos prihoda i primitaka'!$L$3:$L$501,"=66")</f>
        <v>0</v>
      </c>
      <c r="O27" s="126">
        <f>SUMIFS('Unos prihoda i primitaka'!$H$3:$H$501,'Unos prihoda i primitaka'!$C$3:$C$501,"=563",'Unos prihoda i primitaka'!$L$3:$L$501,"=66")</f>
        <v>0</v>
      </c>
      <c r="P27" s="126">
        <f>SUMIFS('Unos prihoda i primitaka'!$H$3:$H$501,'Unos prihoda i primitaka'!$C$3:$C$501,"=573",'Unos prihoda i primitaka'!$L$3:$L$501,"=66")</f>
        <v>0</v>
      </c>
      <c r="Q27" s="126">
        <f>SUMIFS('Unos prihoda i primitaka'!$H$3:$H$501,'Unos prihoda i primitaka'!$C$3:$C$501,"=575",'Unos prihoda i primitaka'!$L$3:$L$501,"=66")</f>
        <v>0</v>
      </c>
      <c r="R27" s="126">
        <f>SUMIFS('Unos prihoda i primitaka'!$H$3:$H$501,'Unos prihoda i primitaka'!$C$3:$C$501,"=576",'Unos prihoda i primitaka'!$L$3:$L$501,"=66")</f>
        <v>0</v>
      </c>
      <c r="S27" s="126">
        <f>SUMIFS('Unos prihoda i primitaka'!$H$3:$H$501,'Unos prihoda i primitaka'!$C$3:$C$501,"=581",'Unos prihoda i primitaka'!$L$3:$L$501,"=66")</f>
        <v>0</v>
      </c>
      <c r="T27" s="126">
        <f>SUMIFS('Unos prihoda i primitaka'!$H$3:$H$501,'Unos prihoda i primitaka'!$C$3:$C$501,"=61",'Unos prihoda i primitaka'!$L$3:$L$501,"=66")</f>
        <v>0</v>
      </c>
      <c r="U27" s="126">
        <f>SUMIFS('Unos prihoda i primitaka'!$H$3:$H$501,'Unos prihoda i primitaka'!$C$3:$C$501,"=63",'Unos prihoda i primitaka'!$L$3:$L$501,"=66")</f>
        <v>0</v>
      </c>
      <c r="V27" s="126">
        <f>SUMIFS('Unos prihoda i primitaka'!$H$3:$H$501,'Unos prihoda i primitaka'!$C$3:$C$501,"=71",'Unos prihoda i primitaka'!$L$3:$L$501,"=66")</f>
        <v>0</v>
      </c>
    </row>
    <row r="28" spans="1:22" s="41" customFormat="1" ht="25.5">
      <c r="A28" s="285">
        <v>2024</v>
      </c>
      <c r="B28" s="44" t="s">
        <v>5102</v>
      </c>
      <c r="C28" s="45" t="s">
        <v>5111</v>
      </c>
      <c r="D28" s="30">
        <f t="shared" si="5"/>
        <v>7228357</v>
      </c>
      <c r="E28" s="126">
        <f>SUMIFS('Unos prihoda i primitaka'!$H$3:$H$501,'Unos prihoda i primitaka'!$C$3:$C$501,"=11",'Unos prihoda i primitaka'!$L$3:$L$501,"=67")</f>
        <v>7228357</v>
      </c>
      <c r="F28" s="126">
        <f>SUMIFS('Unos prihoda i primitaka'!$H$3:$H$501,'Unos prihoda i primitaka'!$C$3:$C$501,"=12",'Unos prihoda i primitaka'!$L$3:$L$501,"=67")</f>
        <v>0</v>
      </c>
      <c r="G28" s="126">
        <f>SUMIFS('Unos prihoda i primitaka'!$H$3:$H$501,'Unos prihoda i primitaka'!$C$3:$C$501,"=31",'Unos prihoda i primitaka'!$L$3:$L$501,"=67")</f>
        <v>0</v>
      </c>
      <c r="H28" s="126">
        <f>SUMIFS('Unos prihoda i primitaka'!$H$3:$H$501,'Unos prihoda i primitaka'!$C$3:$C$501,"=41",'Unos prihoda i primitaka'!$L$3:$L$501,"=67")</f>
        <v>0</v>
      </c>
      <c r="I28" s="126">
        <f>SUMIFS('Unos prihoda i primitaka'!$H$3:$H$501,'Unos prihoda i primitaka'!$C$3:$C$501,"=43",'Unos prihoda i primitaka'!$L$3:$L$501,"=67")</f>
        <v>0</v>
      </c>
      <c r="J28" s="126">
        <f>SUMIFS('Unos prihoda i primitaka'!$H$3:$H$501,'Unos prihoda i primitaka'!$C$3:$C$501,"=51",'Unos prihoda i primitaka'!$L$3:$L$501,"=67")</f>
        <v>0</v>
      </c>
      <c r="K28" s="126">
        <f>SUMIFS('Unos prihoda i primitaka'!$H$3:$H$501,'Unos prihoda i primitaka'!$C$3:$C$501,"=52",'Unos prihoda i primitaka'!$L$3:$L$501,"=67")</f>
        <v>0</v>
      </c>
      <c r="L28" s="126">
        <f>SUMIFS('Unos prihoda i primitaka'!$H$3:$H$501,'Unos prihoda i primitaka'!$C$3:$C$501,"=552",'Unos prihoda i primitaka'!$L$3:$L$501,"=67")</f>
        <v>0</v>
      </c>
      <c r="M28" s="126">
        <f>SUMIFS('Unos prihoda i primitaka'!$H$3:$H$501,'Unos prihoda i primitaka'!$C$3:$C$501,"=559",'Unos prihoda i primitaka'!$L$3:$L$501,"=67")</f>
        <v>0</v>
      </c>
      <c r="N28" s="126">
        <f>SUMIFS('Unos prihoda i primitaka'!$H$3:$H$501,'Unos prihoda i primitaka'!$C$3:$C$501,"=561",'Unos prihoda i primitaka'!$L$3:$L$501,"=67")</f>
        <v>0</v>
      </c>
      <c r="O28" s="126">
        <f>SUMIFS('Unos prihoda i primitaka'!$H$3:$H$501,'Unos prihoda i primitaka'!$C$3:$C$501,"=563",'Unos prihoda i primitaka'!$L$3:$L$501,"=67")</f>
        <v>0</v>
      </c>
      <c r="P28" s="126">
        <f>SUMIFS('Unos prihoda i primitaka'!$H$3:$H$501,'Unos prihoda i primitaka'!$C$3:$C$501,"=573",'Unos prihoda i primitaka'!$L$3:$L$501,"=67")</f>
        <v>0</v>
      </c>
      <c r="Q28" s="126">
        <f>SUMIFS('Unos prihoda i primitaka'!$H$3:$H$501,'Unos prihoda i primitaka'!$C$3:$C$501,"=575",'Unos prihoda i primitaka'!$L$3:$L$501,"=67")</f>
        <v>0</v>
      </c>
      <c r="R28" s="126">
        <f>SUMIFS('Unos prihoda i primitaka'!$H$3:$H$501,'Unos prihoda i primitaka'!$C$3:$C$501,"=576",'Unos prihoda i primitaka'!$L$3:$L$501,"=67")</f>
        <v>0</v>
      </c>
      <c r="S28" s="126">
        <f>SUMIFS('Unos prihoda i primitaka'!$H$3:$H$501,'Unos prihoda i primitaka'!$C$3:$C$501,"=581",'Unos prihoda i primitaka'!$L$3:$L$501,"=67")</f>
        <v>0</v>
      </c>
      <c r="T28" s="126">
        <f>SUMIFS('Unos prihoda i primitaka'!$H$3:$H$501,'Unos prihoda i primitaka'!$C$3:$C$501,"=61",'Unos prihoda i primitaka'!$L$3:$L$501,"=67")</f>
        <v>0</v>
      </c>
      <c r="U28" s="126">
        <f>SUMIFS('Unos prihoda i primitaka'!$H$3:$H$501,'Unos prihoda i primitaka'!$C$3:$C$501,"=63",'Unos prihoda i primitaka'!$L$3:$L$501,"=67")</f>
        <v>0</v>
      </c>
      <c r="V28" s="126">
        <f>SUMIFS('Unos prihoda i primitaka'!$H$3:$H$501,'Unos prihoda i primitaka'!$C$3:$C$501,"=71",'Unos prihoda i primitaka'!$L$3:$L$501,"=67")</f>
        <v>0</v>
      </c>
    </row>
    <row r="29" spans="1:22" s="41" customFormat="1">
      <c r="A29" s="285">
        <v>2024</v>
      </c>
      <c r="B29" s="44" t="s">
        <v>5101</v>
      </c>
      <c r="C29" s="45" t="s">
        <v>5100</v>
      </c>
      <c r="D29" s="30">
        <f t="shared" si="5"/>
        <v>0</v>
      </c>
      <c r="E29" s="126">
        <f>SUMIFS('Unos prihoda i primitaka'!$H$3:$H$501,'Unos prihoda i primitaka'!$C$3:$C$501,"=11",'Unos prihoda i primitaka'!$L$3:$L$501,"=68")</f>
        <v>0</v>
      </c>
      <c r="F29" s="126">
        <f>SUMIFS('Unos prihoda i primitaka'!$H$3:$H$501,'Unos prihoda i primitaka'!$C$3:$C$501,"=12",'Unos prihoda i primitaka'!$L$3:$L$501,"=68")</f>
        <v>0</v>
      </c>
      <c r="G29" s="126">
        <f>SUMIFS('Unos prihoda i primitaka'!$H$3:$H$501,'Unos prihoda i primitaka'!$C$3:$C$501,"=31",'Unos prihoda i primitaka'!$L$3:$L$501,"=68")</f>
        <v>0</v>
      </c>
      <c r="H29" s="126">
        <f>SUMIFS('Unos prihoda i primitaka'!$H$3:$H$501,'Unos prihoda i primitaka'!$C$3:$C$501,"=41",'Unos prihoda i primitaka'!$L$3:$L$501,"=68")</f>
        <v>0</v>
      </c>
      <c r="I29" s="126">
        <f>SUMIFS('Unos prihoda i primitaka'!$H$3:$H$501,'Unos prihoda i primitaka'!$C$3:$C$501,"=43",'Unos prihoda i primitaka'!$L$3:$L$501,"=68")</f>
        <v>0</v>
      </c>
      <c r="J29" s="126">
        <f>SUMIFS('Unos prihoda i primitaka'!$H$3:$H$501,'Unos prihoda i primitaka'!$C$3:$C$501,"=51",'Unos prihoda i primitaka'!$L$3:$L$501,"=68")</f>
        <v>0</v>
      </c>
      <c r="K29" s="126">
        <f>SUMIFS('Unos prihoda i primitaka'!$H$3:$H$501,'Unos prihoda i primitaka'!$C$3:$C$501,"=52",'Unos prihoda i primitaka'!$L$3:$L$501,"=68")</f>
        <v>0</v>
      </c>
      <c r="L29" s="126">
        <f>SUMIFS('Unos prihoda i primitaka'!$H$3:$H$501,'Unos prihoda i primitaka'!$C$3:$C$501,"=552",'Unos prihoda i primitaka'!$L$3:$L$501,"=68")</f>
        <v>0</v>
      </c>
      <c r="M29" s="126">
        <f>SUMIFS('Unos prihoda i primitaka'!$H$3:$H$501,'Unos prihoda i primitaka'!$C$3:$C$501,"=559",'Unos prihoda i primitaka'!$L$3:$L$501,"=68")</f>
        <v>0</v>
      </c>
      <c r="N29" s="126">
        <f>SUMIFS('Unos prihoda i primitaka'!$H$3:$H$501,'Unos prihoda i primitaka'!$C$3:$C$501,"=561",'Unos prihoda i primitaka'!$L$3:$L$501,"=68")</f>
        <v>0</v>
      </c>
      <c r="O29" s="126">
        <f>SUMIFS('Unos prihoda i primitaka'!$H$3:$H$501,'Unos prihoda i primitaka'!$C$3:$C$501,"=563",'Unos prihoda i primitaka'!$L$3:$L$501,"=68")</f>
        <v>0</v>
      </c>
      <c r="P29" s="126">
        <f>SUMIFS('Unos prihoda i primitaka'!$H$3:$H$501,'Unos prihoda i primitaka'!$C$3:$C$501,"=573",'Unos prihoda i primitaka'!$L$3:$L$501,"=68")</f>
        <v>0</v>
      </c>
      <c r="Q29" s="126">
        <f>SUMIFS('Unos prihoda i primitaka'!$H$3:$H$501,'Unos prihoda i primitaka'!$C$3:$C$501,"=575",'Unos prihoda i primitaka'!$L$3:$L$501,"=68")</f>
        <v>0</v>
      </c>
      <c r="R29" s="126">
        <f>SUMIFS('Unos prihoda i primitaka'!$H$3:$H$501,'Unos prihoda i primitaka'!$C$3:$C$501,"=576",'Unos prihoda i primitaka'!$L$3:$L$501,"=68")</f>
        <v>0</v>
      </c>
      <c r="S29" s="126">
        <f>SUMIFS('Unos prihoda i primitaka'!$H$3:$H$501,'Unos prihoda i primitaka'!$C$3:$C$501,"=581",'Unos prihoda i primitaka'!$L$3:$L$501,"=68")</f>
        <v>0</v>
      </c>
      <c r="T29" s="126">
        <f>SUMIFS('Unos prihoda i primitaka'!$H$3:$H$501,'Unos prihoda i primitaka'!$C$3:$C$501,"=61",'Unos prihoda i primitaka'!$L$3:$L$501,"=68")</f>
        <v>0</v>
      </c>
      <c r="U29" s="126">
        <f>SUMIFS('Unos prihoda i primitaka'!$H$3:$H$501,'Unos prihoda i primitaka'!$C$3:$C$501,"=63",'Unos prihoda i primitaka'!$L$3:$L$501,"=68")</f>
        <v>0</v>
      </c>
      <c r="V29" s="126">
        <f>SUMIFS('Unos prihoda i primitaka'!$H$3:$H$501,'Unos prihoda i primitaka'!$C$3:$C$501,"=71",'Unos prihoda i primitaka'!$L$3:$L$501,"=68")</f>
        <v>0</v>
      </c>
    </row>
    <row r="30" spans="1:22" s="41" customFormat="1">
      <c r="A30" s="285">
        <v>2024</v>
      </c>
      <c r="B30" s="47" t="s">
        <v>247</v>
      </c>
      <c r="C30" s="48" t="s">
        <v>248</v>
      </c>
      <c r="D30" s="30">
        <f t="shared" si="5"/>
        <v>9209347</v>
      </c>
      <c r="E30" s="4">
        <f t="shared" ref="E30:V30" si="6">SUM(E23:E29)</f>
        <v>7228357</v>
      </c>
      <c r="F30" s="4">
        <f t="shared" si="6"/>
        <v>0</v>
      </c>
      <c r="G30" s="4">
        <f t="shared" si="6"/>
        <v>301042</v>
      </c>
      <c r="H30" s="4">
        <f t="shared" si="6"/>
        <v>0</v>
      </c>
      <c r="I30" s="4">
        <f t="shared" si="6"/>
        <v>1573628</v>
      </c>
      <c r="J30" s="4">
        <f t="shared" si="6"/>
        <v>24930</v>
      </c>
      <c r="K30" s="4">
        <f t="shared" si="6"/>
        <v>81390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0</v>
      </c>
      <c r="T30" s="4">
        <f t="shared" si="6"/>
        <v>0</v>
      </c>
      <c r="U30" s="4">
        <f t="shared" si="6"/>
        <v>0</v>
      </c>
      <c r="V30" s="4">
        <f t="shared" si="6"/>
        <v>0</v>
      </c>
    </row>
    <row r="31" spans="1:22" s="41" customFormat="1">
      <c r="A31" s="285">
        <v>2024</v>
      </c>
      <c r="B31" s="44" t="s">
        <v>5103</v>
      </c>
      <c r="C31" s="49" t="s">
        <v>5104</v>
      </c>
      <c r="D31" s="30">
        <f t="shared" si="5"/>
        <v>0</v>
      </c>
      <c r="E31" s="126">
        <f>SUMIFS('Unos prihoda i primitaka'!$H$3:$H$501,'Unos prihoda i primitaka'!$C$3:$C$501,"=11",'Unos prihoda i primitaka'!$L$3:$L$501,"=71")</f>
        <v>0</v>
      </c>
      <c r="F31" s="126">
        <f>SUMIFS('Unos prihoda i primitaka'!$H$3:$H$501,'Unos prihoda i primitaka'!$C$3:$C$501,"=12",'Unos prihoda i primitaka'!$L$3:$L$501,"=71")</f>
        <v>0</v>
      </c>
      <c r="G31" s="126">
        <f>SUMIFS('Unos prihoda i primitaka'!$H$3:$H$501,'Unos prihoda i primitaka'!$C$3:$C$501,"=31",'Unos prihoda i primitaka'!$L$3:$L$501,"=71")</f>
        <v>0</v>
      </c>
      <c r="H31" s="126">
        <f>SUMIFS('Unos prihoda i primitaka'!$H$3:$H$501,'Unos prihoda i primitaka'!$C$3:$C$501,"=41",'Unos prihoda i primitaka'!$L$3:$L$501,"=71")</f>
        <v>0</v>
      </c>
      <c r="I31" s="126">
        <f>SUMIFS('Unos prihoda i primitaka'!$H$3:$H$501,'Unos prihoda i primitaka'!$C$3:$C$501,"=43",'Unos prihoda i primitaka'!$L$3:$L$501,"=71")</f>
        <v>0</v>
      </c>
      <c r="J31" s="126">
        <f>SUMIFS('Unos prihoda i primitaka'!$H$3:$H$501,'Unos prihoda i primitaka'!$C$3:$C$501,"=51",'Unos prihoda i primitaka'!$L$3:$L$501,"=71")</f>
        <v>0</v>
      </c>
      <c r="K31" s="126">
        <f>SUMIFS('Unos prihoda i primitaka'!$H$3:$H$501,'Unos prihoda i primitaka'!$C$3:$C$501,"=52",'Unos prihoda i primitaka'!$L$3:$L$501,"=71")</f>
        <v>0</v>
      </c>
      <c r="L31" s="126">
        <f>SUMIFS('Unos prihoda i primitaka'!$H$3:$H$501,'Unos prihoda i primitaka'!$C$3:$C$501,"=552",'Unos prihoda i primitaka'!$L$3:$L$501,"=71")</f>
        <v>0</v>
      </c>
      <c r="M31" s="126">
        <f>SUMIFS('Unos prihoda i primitaka'!$H$3:$H$501,'Unos prihoda i primitaka'!$C$3:$C$501,"=559",'Unos prihoda i primitaka'!$L$3:$L$501,"=71")</f>
        <v>0</v>
      </c>
      <c r="N31" s="126">
        <f>SUMIFS('Unos prihoda i primitaka'!$H$3:$H$501,'Unos prihoda i primitaka'!$C$3:$C$501,"=561",'Unos prihoda i primitaka'!$L$3:$L$501,"=71")</f>
        <v>0</v>
      </c>
      <c r="O31" s="126">
        <f>SUMIFS('Unos prihoda i primitaka'!$H$3:$H$501,'Unos prihoda i primitaka'!$C$3:$C$501,"=563",'Unos prihoda i primitaka'!$L$3:$L$501,"=71")</f>
        <v>0</v>
      </c>
      <c r="P31" s="126">
        <f>SUMIFS('Unos prihoda i primitaka'!$H$3:$H$501,'Unos prihoda i primitaka'!$C$3:$C$501,"=573",'Unos prihoda i primitaka'!$L$3:$L$501,"=71")</f>
        <v>0</v>
      </c>
      <c r="Q31" s="126">
        <f>SUMIFS('Unos prihoda i primitaka'!$H$3:$H$501,'Unos prihoda i primitaka'!$C$3:$C$501,"=575",'Unos prihoda i primitaka'!$L$3:$L$501,"=71")</f>
        <v>0</v>
      </c>
      <c r="R31" s="126">
        <f>SUMIFS('Unos prihoda i primitaka'!$H$3:$H$501,'Unos prihoda i primitaka'!$C$3:$C$501,"=576",'Unos prihoda i primitaka'!$L$3:$L$501,"=71")</f>
        <v>0</v>
      </c>
      <c r="S31" s="126">
        <f>SUMIFS('Unos prihoda i primitaka'!$H$3:$H$501,'Unos prihoda i primitaka'!$C$3:$C$501,"=581",'Unos prihoda i primitaka'!$L$3:$L$501,"=71")</f>
        <v>0</v>
      </c>
      <c r="T31" s="126">
        <f>SUMIFS('Unos prihoda i primitaka'!$H$3:$H$501,'Unos prihoda i primitaka'!$C$3:$C$501,"=61",'Unos prihoda i primitaka'!$L$3:$L$501,"=71")</f>
        <v>0</v>
      </c>
      <c r="U31" s="126">
        <f>SUMIFS('Unos prihoda i primitaka'!$H$3:$H$501,'Unos prihoda i primitaka'!$C$3:$C$501,"=63",'Unos prihoda i primitaka'!$L$3:$L$501,"=71")</f>
        <v>0</v>
      </c>
      <c r="V31" s="126">
        <f>SUMIFS('Unos prihoda i primitaka'!$H$3:$H$501,'Unos prihoda i primitaka'!$C$3:$C$501,"=71",'Unos prihoda i primitaka'!$L$3:$L$501,"=71")</f>
        <v>0</v>
      </c>
    </row>
    <row r="32" spans="1:22" s="41" customFormat="1">
      <c r="A32" s="285">
        <v>2024</v>
      </c>
      <c r="B32" s="44" t="s">
        <v>5105</v>
      </c>
      <c r="C32" s="49" t="s">
        <v>5106</v>
      </c>
      <c r="D32" s="30">
        <f t="shared" si="5"/>
        <v>0</v>
      </c>
      <c r="E32" s="126">
        <f>SUMIFS('Unos prihoda i primitaka'!$H$3:$H$501,'Unos prihoda i primitaka'!$C$3:$C$501,"=11",'Unos prihoda i primitaka'!$L$3:$L$501,"=72")</f>
        <v>0</v>
      </c>
      <c r="F32" s="126">
        <f>SUMIFS('Unos prihoda i primitaka'!$H$3:$H$501,'Unos prihoda i primitaka'!$C$3:$C$501,"=12",'Unos prihoda i primitaka'!$L$3:$L$501,"=72")</f>
        <v>0</v>
      </c>
      <c r="G32" s="126">
        <f>SUMIFS('Unos prihoda i primitaka'!$H$3:$H$501,'Unos prihoda i primitaka'!$C$3:$C$501,"=31",'Unos prihoda i primitaka'!$L$3:$L$501,"=72")</f>
        <v>0</v>
      </c>
      <c r="H32" s="126">
        <f>SUMIFS('Unos prihoda i primitaka'!$H$3:$H$501,'Unos prihoda i primitaka'!$C$3:$C$501,"=41",'Unos prihoda i primitaka'!$L$3:$L$501,"=72")</f>
        <v>0</v>
      </c>
      <c r="I32" s="126">
        <f>SUMIFS('Unos prihoda i primitaka'!$H$3:$H$501,'Unos prihoda i primitaka'!$C$3:$C$501,"=43",'Unos prihoda i primitaka'!$L$3:$L$501,"=72")</f>
        <v>0</v>
      </c>
      <c r="J32" s="126">
        <f>SUMIFS('Unos prihoda i primitaka'!$H$3:$H$501,'Unos prihoda i primitaka'!$C$3:$C$501,"=51",'Unos prihoda i primitaka'!$L$3:$L$501,"=72")</f>
        <v>0</v>
      </c>
      <c r="K32" s="126">
        <f>SUMIFS('Unos prihoda i primitaka'!$H$3:$H$501,'Unos prihoda i primitaka'!$C$3:$C$501,"=52",'Unos prihoda i primitaka'!$L$3:$L$501,"=72")</f>
        <v>0</v>
      </c>
      <c r="L32" s="126">
        <f>SUMIFS('Unos prihoda i primitaka'!$H$3:$H$501,'Unos prihoda i primitaka'!$C$3:$C$501,"=552",'Unos prihoda i primitaka'!$L$3:$L$501,"=72")</f>
        <v>0</v>
      </c>
      <c r="M32" s="126">
        <f>SUMIFS('Unos prihoda i primitaka'!$H$3:$H$501,'Unos prihoda i primitaka'!$C$3:$C$501,"=559",'Unos prihoda i primitaka'!$L$3:$L$501,"=72")</f>
        <v>0</v>
      </c>
      <c r="N32" s="126">
        <f>SUMIFS('Unos prihoda i primitaka'!$H$3:$H$501,'Unos prihoda i primitaka'!$C$3:$C$501,"=561",'Unos prihoda i primitaka'!$L$3:$L$501,"=72")</f>
        <v>0</v>
      </c>
      <c r="O32" s="126">
        <f>SUMIFS('Unos prihoda i primitaka'!$H$3:$H$501,'Unos prihoda i primitaka'!$C$3:$C$501,"=563",'Unos prihoda i primitaka'!$L$3:$L$501,"=72")</f>
        <v>0</v>
      </c>
      <c r="P32" s="126">
        <f>SUMIFS('Unos prihoda i primitaka'!$H$3:$H$501,'Unos prihoda i primitaka'!$C$3:$C$501,"=573",'Unos prihoda i primitaka'!$L$3:$L$501,"=72")</f>
        <v>0</v>
      </c>
      <c r="Q32" s="126">
        <f>SUMIFS('Unos prihoda i primitaka'!$H$3:$H$501,'Unos prihoda i primitaka'!$C$3:$C$501,"=575",'Unos prihoda i primitaka'!$L$3:$L$501,"=72")</f>
        <v>0</v>
      </c>
      <c r="R32" s="126">
        <f>SUMIFS('Unos prihoda i primitaka'!$H$3:$H$501,'Unos prihoda i primitaka'!$C$3:$C$501,"=576",'Unos prihoda i primitaka'!$L$3:$L$501,"=72")</f>
        <v>0</v>
      </c>
      <c r="S32" s="126">
        <f>SUMIFS('Unos prihoda i primitaka'!$H$3:$H$501,'Unos prihoda i primitaka'!$C$3:$C$501,"=581",'Unos prihoda i primitaka'!$L$3:$L$501,"=72")</f>
        <v>0</v>
      </c>
      <c r="T32" s="126">
        <f>SUMIFS('Unos prihoda i primitaka'!$H$3:$H$501,'Unos prihoda i primitaka'!$C$3:$C$501,"=61",'Unos prihoda i primitaka'!$L$3:$L$501,"=72")</f>
        <v>0</v>
      </c>
      <c r="U32" s="126">
        <f>SUMIFS('Unos prihoda i primitaka'!$H$3:$H$501,'Unos prihoda i primitaka'!$C$3:$C$501,"=63",'Unos prihoda i primitaka'!$L$3:$L$501,"=72")</f>
        <v>0</v>
      </c>
      <c r="V32" s="126">
        <f>SUMIFS('Unos prihoda i primitaka'!$H$3:$H$501,'Unos prihoda i primitaka'!$C$3:$C$501,"=71",'Unos prihoda i primitaka'!$L$3:$L$501,"=72")</f>
        <v>0</v>
      </c>
    </row>
    <row r="33" spans="1:22" s="41" customFormat="1">
      <c r="A33" s="285">
        <v>2024</v>
      </c>
      <c r="B33" s="47" t="s">
        <v>249</v>
      </c>
      <c r="C33" s="48" t="s">
        <v>248</v>
      </c>
      <c r="D33" s="30">
        <f t="shared" si="5"/>
        <v>0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0</v>
      </c>
    </row>
    <row r="34" spans="1:22">
      <c r="B34" s="23"/>
      <c r="C34" s="23"/>
      <c r="D34" s="23"/>
      <c r="E34" s="23"/>
      <c r="F34" s="23"/>
      <c r="G34" s="23"/>
      <c r="H34" s="23"/>
      <c r="I34" s="52"/>
      <c r="J34" s="53"/>
      <c r="K34" s="53"/>
      <c r="L34" s="53"/>
      <c r="M34" s="53"/>
      <c r="N34" s="53"/>
      <c r="O34" s="53"/>
      <c r="P34" s="53"/>
      <c r="Q34" s="53"/>
      <c r="R34" s="53"/>
      <c r="S34" s="42"/>
    </row>
    <row r="35" spans="1:22" s="41" customFormat="1" ht="89.25">
      <c r="A35" s="284" t="s">
        <v>1710</v>
      </c>
      <c r="B35" s="43" t="s">
        <v>237</v>
      </c>
      <c r="C35" s="43" t="s">
        <v>238</v>
      </c>
      <c r="D35" s="181" t="s">
        <v>239</v>
      </c>
      <c r="E35" s="169" t="s">
        <v>260</v>
      </c>
      <c r="F35" s="169" t="s">
        <v>251</v>
      </c>
      <c r="G35" s="169" t="s">
        <v>16</v>
      </c>
      <c r="H35" s="169" t="s">
        <v>1230</v>
      </c>
      <c r="I35" s="169" t="s">
        <v>17</v>
      </c>
      <c r="J35" s="169" t="s">
        <v>240</v>
      </c>
      <c r="K35" s="169" t="s">
        <v>241</v>
      </c>
      <c r="L35" s="169" t="s">
        <v>1231</v>
      </c>
      <c r="M35" s="169" t="s">
        <v>242</v>
      </c>
      <c r="N35" s="169" t="s">
        <v>243</v>
      </c>
      <c r="O35" s="169" t="s">
        <v>244</v>
      </c>
      <c r="P35" s="169" t="s">
        <v>1232</v>
      </c>
      <c r="Q35" s="169" t="s">
        <v>1233</v>
      </c>
      <c r="R35" s="169" t="s">
        <v>1708</v>
      </c>
      <c r="S35" s="2" t="s">
        <v>3021</v>
      </c>
      <c r="T35" s="2" t="s">
        <v>245</v>
      </c>
      <c r="U35" s="2" t="s">
        <v>246</v>
      </c>
      <c r="V35" s="2" t="s">
        <v>250</v>
      </c>
    </row>
    <row r="36" spans="1:22" s="41" customFormat="1" ht="20.25" customHeight="1">
      <c r="A36" s="285">
        <v>2025</v>
      </c>
      <c r="B36" s="254">
        <v>2025</v>
      </c>
      <c r="C36" s="254" t="s">
        <v>5196</v>
      </c>
      <c r="D36" s="66">
        <f t="shared" ref="D36:D47" si="8">SUM(E36:V36)</f>
        <v>9235800</v>
      </c>
      <c r="E36" s="66">
        <f t="shared" ref="E36:V36" si="9">+E47+E44</f>
        <v>7258335</v>
      </c>
      <c r="F36" s="66">
        <f t="shared" si="9"/>
        <v>0</v>
      </c>
      <c r="G36" s="66">
        <f t="shared" si="9"/>
        <v>310374</v>
      </c>
      <c r="H36" s="66">
        <f t="shared" si="9"/>
        <v>0</v>
      </c>
      <c r="I36" s="66">
        <f t="shared" si="9"/>
        <v>1622410</v>
      </c>
      <c r="J36" s="66">
        <f t="shared" si="9"/>
        <v>9381</v>
      </c>
      <c r="K36" s="66">
        <f t="shared" si="9"/>
        <v>35300</v>
      </c>
      <c r="L36" s="66">
        <f t="shared" si="9"/>
        <v>0</v>
      </c>
      <c r="M36" s="66">
        <f t="shared" si="9"/>
        <v>0</v>
      </c>
      <c r="N36" s="66">
        <f t="shared" si="9"/>
        <v>0</v>
      </c>
      <c r="O36" s="66">
        <f t="shared" si="9"/>
        <v>0</v>
      </c>
      <c r="P36" s="66">
        <f t="shared" si="9"/>
        <v>0</v>
      </c>
      <c r="Q36" s="66">
        <f t="shared" si="9"/>
        <v>0</v>
      </c>
      <c r="R36" s="66">
        <f t="shared" si="9"/>
        <v>0</v>
      </c>
      <c r="S36" s="66">
        <f t="shared" si="9"/>
        <v>0</v>
      </c>
      <c r="T36" s="66">
        <f t="shared" si="9"/>
        <v>0</v>
      </c>
      <c r="U36" s="66">
        <f t="shared" si="9"/>
        <v>0</v>
      </c>
      <c r="V36" s="66">
        <f t="shared" si="9"/>
        <v>0</v>
      </c>
    </row>
    <row r="37" spans="1:22" s="41" customFormat="1">
      <c r="A37" s="285">
        <v>2025</v>
      </c>
      <c r="B37" s="46" t="s">
        <v>5091</v>
      </c>
      <c r="C37" s="59" t="s">
        <v>5090</v>
      </c>
      <c r="D37" s="30">
        <f t="shared" si="8"/>
        <v>0</v>
      </c>
      <c r="E37" s="126">
        <f>SUMIFS('Unos prihoda i primitaka'!$I$3:$I$501,'Unos prihoda i primitaka'!$C$3:$C$501,"=11",'Unos prihoda i primitaka'!$L$3:$L$501,"=61")</f>
        <v>0</v>
      </c>
      <c r="F37" s="126">
        <f>SUMIFS('Unos prihoda i primitaka'!$I$3:$I$501,'Unos prihoda i primitaka'!$C$3:$C$501,"=12",'Unos prihoda i primitaka'!$L$3:$L$501,"=61")</f>
        <v>0</v>
      </c>
      <c r="G37" s="126">
        <f>SUMIFS('Unos prihoda i primitaka'!$I$3:$I$501,'Unos prihoda i primitaka'!$C$3:$C$501,"=31",'Unos prihoda i primitaka'!$L$3:$L$501,"=61")</f>
        <v>0</v>
      </c>
      <c r="H37" s="126">
        <f>SUMIFS('Unos prihoda i primitaka'!$I$3:$I$501,'Unos prihoda i primitaka'!$C$3:$C$501,"=41",'Unos prihoda i primitaka'!$L$3:$L$501,"=61")</f>
        <v>0</v>
      </c>
      <c r="I37" s="126">
        <f>SUMIFS('Unos prihoda i primitaka'!$I$3:$I$501,'Unos prihoda i primitaka'!$C$3:$C$501,"=43",'Unos prihoda i primitaka'!$L$3:$L$501,"=61")</f>
        <v>0</v>
      </c>
      <c r="J37" s="126">
        <f>SUMIFS('Unos prihoda i primitaka'!$I$3:$I$501,'Unos prihoda i primitaka'!$C$3:$C$501,"=51",'Unos prihoda i primitaka'!$L$3:$L$501,"=61")</f>
        <v>0</v>
      </c>
      <c r="K37" s="126">
        <f>SUMIFS('Unos prihoda i primitaka'!$I$3:$I$501,'Unos prihoda i primitaka'!$C$3:$C$501,"=52",'Unos prihoda i primitaka'!$L$3:$L$501,"=61")</f>
        <v>0</v>
      </c>
      <c r="L37" s="126">
        <f>SUMIFS('Unos prihoda i primitaka'!$I$3:$I$501,'Unos prihoda i primitaka'!$C$3:$C$501,"=552",'Unos prihoda i primitaka'!$L$3:$L$501,"=61")</f>
        <v>0</v>
      </c>
      <c r="M37" s="126">
        <f>SUMIFS('Unos prihoda i primitaka'!$I$3:$I$501,'Unos prihoda i primitaka'!$C$3:$C$501,"=559",'Unos prihoda i primitaka'!$L$3:$L$501,"=61")</f>
        <v>0</v>
      </c>
      <c r="N37" s="126">
        <f>SUMIFS('Unos prihoda i primitaka'!$I$3:$I$501,'Unos prihoda i primitaka'!$C$3:$C$501,"=561",'Unos prihoda i primitaka'!$L$3:$L$501,"=61")</f>
        <v>0</v>
      </c>
      <c r="O37" s="126">
        <f>SUMIFS('Unos prihoda i primitaka'!$I$3:$I$501,'Unos prihoda i primitaka'!$C$3:$C$501,"=563",'Unos prihoda i primitaka'!$L$3:$L$501,"=61")</f>
        <v>0</v>
      </c>
      <c r="P37" s="126">
        <f>SUMIFS('Unos prihoda i primitaka'!$I$3:$I$501,'Unos prihoda i primitaka'!$C$3:$C$501,"=573",'Unos prihoda i primitaka'!$L$3:$L$501,"=61")</f>
        <v>0</v>
      </c>
      <c r="Q37" s="126">
        <f>SUMIFS('Unos prihoda i primitaka'!$I$3:$I$501,'Unos prihoda i primitaka'!$C$3:$C$501,"=575",'Unos prihoda i primitaka'!$L$3:$L$501,"=61")</f>
        <v>0</v>
      </c>
      <c r="R37" s="126">
        <f>SUMIFS('Unos prihoda i primitaka'!$I$3:$I$501,'Unos prihoda i primitaka'!$C$3:$C$501,"=576",'Unos prihoda i primitaka'!$L$3:$L$501,"=61")</f>
        <v>0</v>
      </c>
      <c r="S37" s="126">
        <f>SUMIFS('Unos prihoda i primitaka'!$I$3:$I$501,'Unos prihoda i primitaka'!$C$3:$C$501,"=581",'Unos prihoda i primitaka'!$L$3:$L$501,"=61")</f>
        <v>0</v>
      </c>
      <c r="T37" s="126">
        <f>SUMIFS('Unos prihoda i primitaka'!$I$3:$I$501,'Unos prihoda i primitaka'!$C$3:$C$501,"=61",'Unos prihoda i primitaka'!$L$3:$L$501,"=61")</f>
        <v>0</v>
      </c>
      <c r="U37" s="126">
        <f>SUMIFS('Unos prihoda i primitaka'!$I$3:$I$501,'Unos prihoda i primitaka'!$C$3:$C$501,"=63",'Unos prihoda i primitaka'!$L$3:$L$501,"=61")</f>
        <v>0</v>
      </c>
      <c r="V37" s="126">
        <f>SUMIFS('Unos prihoda i primitaka'!$I$3:$I$501,'Unos prihoda i primitaka'!$C$3:$C$501,"=71",'Unos prihoda i primitaka'!$L$3:$L$501,"=61")</f>
        <v>0</v>
      </c>
    </row>
    <row r="38" spans="1:22" s="41" customFormat="1" ht="25.5">
      <c r="A38" s="285">
        <v>2025</v>
      </c>
      <c r="B38" s="46" t="s">
        <v>5093</v>
      </c>
      <c r="C38" s="59" t="s">
        <v>5092</v>
      </c>
      <c r="D38" s="30">
        <f t="shared" si="8"/>
        <v>44681</v>
      </c>
      <c r="E38" s="126">
        <f>SUMIFS('Unos prihoda i primitaka'!$I$3:$I$501,'Unos prihoda i primitaka'!$C$3:$C$501,"=11",'Unos prihoda i primitaka'!$L$3:$L$501,"=63")</f>
        <v>0</v>
      </c>
      <c r="F38" s="126">
        <f>SUMIFS('Unos prihoda i primitaka'!$I$3:$I$501,'Unos prihoda i primitaka'!$C$3:$C$501,"=12",'Unos prihoda i primitaka'!$L$3:$L$501,"=63")</f>
        <v>0</v>
      </c>
      <c r="G38" s="126">
        <f>SUMIFS('Unos prihoda i primitaka'!$I$3:$I$501,'Unos prihoda i primitaka'!$C$3:$C$501,"=31",'Unos prihoda i primitaka'!$L$3:$L$501,"=63")</f>
        <v>0</v>
      </c>
      <c r="H38" s="126">
        <f>SUMIFS('Unos prihoda i primitaka'!$I$3:$I$501,'Unos prihoda i primitaka'!$C$3:$C$501,"=41",'Unos prihoda i primitaka'!$L$3:$L$501,"=63")</f>
        <v>0</v>
      </c>
      <c r="I38" s="126">
        <f>SUMIFS('Unos prihoda i primitaka'!$I$3:$I$501,'Unos prihoda i primitaka'!$C$3:$C$501,"=43",'Unos prihoda i primitaka'!$L$3:$L$501,"=63")</f>
        <v>0</v>
      </c>
      <c r="J38" s="126">
        <f>SUMIFS('Unos prihoda i primitaka'!$I$3:$I$501,'Unos prihoda i primitaka'!$C$3:$C$501,"=51",'Unos prihoda i primitaka'!$L$3:$L$501,"=63")</f>
        <v>9381</v>
      </c>
      <c r="K38" s="126">
        <f>SUMIFS('Unos prihoda i primitaka'!$I$3:$I$501,'Unos prihoda i primitaka'!$C$3:$C$501,"=52",'Unos prihoda i primitaka'!$L$3:$L$501,"=63")</f>
        <v>35300</v>
      </c>
      <c r="L38" s="126">
        <f>SUMIFS('Unos prihoda i primitaka'!$I$3:$I$501,'Unos prihoda i primitaka'!$C$3:$C$501,"=552",'Unos prihoda i primitaka'!$L$3:$L$501,"=63")</f>
        <v>0</v>
      </c>
      <c r="M38" s="126">
        <f>SUMIFS('Unos prihoda i primitaka'!$I$3:$I$501,'Unos prihoda i primitaka'!$C$3:$C$501,"=559",'Unos prihoda i primitaka'!$L$3:$L$501,"=63")</f>
        <v>0</v>
      </c>
      <c r="N38" s="126">
        <f>SUMIFS('Unos prihoda i primitaka'!$I$3:$I$501,'Unos prihoda i primitaka'!$C$3:$C$501,"=561",'Unos prihoda i primitaka'!$L$3:$L$501,"=63")</f>
        <v>0</v>
      </c>
      <c r="O38" s="126">
        <f>SUMIFS('Unos prihoda i primitaka'!$I$3:$I$501,'Unos prihoda i primitaka'!$C$3:$C$501,"=563",'Unos prihoda i primitaka'!$L$3:$L$501,"=63")</f>
        <v>0</v>
      </c>
      <c r="P38" s="126">
        <f>SUMIFS('Unos prihoda i primitaka'!$I$3:$I$501,'Unos prihoda i primitaka'!$C$3:$C$501,"=573",'Unos prihoda i primitaka'!$L$3:$L$501,"=63")</f>
        <v>0</v>
      </c>
      <c r="Q38" s="126">
        <f>SUMIFS('Unos prihoda i primitaka'!$I$3:$I$501,'Unos prihoda i primitaka'!$C$3:$C$501,"=575",'Unos prihoda i primitaka'!$L$3:$L$501,"=63")</f>
        <v>0</v>
      </c>
      <c r="R38" s="126">
        <f>SUMIFS('Unos prihoda i primitaka'!$I$3:$I$501,'Unos prihoda i primitaka'!$C$3:$C$501,"=576",'Unos prihoda i primitaka'!$L$3:$L$501,"=63")</f>
        <v>0</v>
      </c>
      <c r="S38" s="126">
        <f>SUMIFS('Unos prihoda i primitaka'!$I$3:$I$501,'Unos prihoda i primitaka'!$C$3:$C$501,"=581",'Unos prihoda i primitaka'!$L$3:$L$501,"=63")</f>
        <v>0</v>
      </c>
      <c r="T38" s="126">
        <f>SUMIFS('Unos prihoda i primitaka'!$I$3:$I$501,'Unos prihoda i primitaka'!$C$3:$C$501,"=61",'Unos prihoda i primitaka'!$L$3:$L$501,"=63")</f>
        <v>0</v>
      </c>
      <c r="U38" s="126">
        <f>SUMIFS('Unos prihoda i primitaka'!$I$3:$I$501,'Unos prihoda i primitaka'!$C$3:$C$501,"=63",'Unos prihoda i primitaka'!$L$3:$L$501,"=63")</f>
        <v>0</v>
      </c>
      <c r="V38" s="126">
        <f>SUMIFS('Unos prihoda i primitaka'!$I$3:$I$501,'Unos prihoda i primitaka'!$C$3:$C$501,"=71",'Unos prihoda i primitaka'!$L$3:$L$501,"=63")</f>
        <v>0</v>
      </c>
    </row>
    <row r="39" spans="1:22" s="41" customFormat="1">
      <c r="A39" s="285">
        <v>2025</v>
      </c>
      <c r="B39" s="44" t="s">
        <v>5095</v>
      </c>
      <c r="C39" s="45" t="s">
        <v>5094</v>
      </c>
      <c r="D39" s="30">
        <f t="shared" si="8"/>
        <v>0</v>
      </c>
      <c r="E39" s="126">
        <f>SUMIFS('Unos prihoda i primitaka'!$I$3:$I$501,'Unos prihoda i primitaka'!$C$3:$C$501,"=11",'Unos prihoda i primitaka'!$L$3:$L$501,"=64")</f>
        <v>0</v>
      </c>
      <c r="F39" s="126">
        <f>SUMIFS('Unos prihoda i primitaka'!$I$3:$I$501,'Unos prihoda i primitaka'!$C$3:$C$501,"=12",'Unos prihoda i primitaka'!$L$3:$L$501,"=64")</f>
        <v>0</v>
      </c>
      <c r="G39" s="126">
        <f>SUMIFS('Unos prihoda i primitaka'!$I$3:$I$501,'Unos prihoda i primitaka'!$C$3:$C$501,"=31",'Unos prihoda i primitaka'!$L$3:$L$501,"=64")</f>
        <v>0</v>
      </c>
      <c r="H39" s="126">
        <f>SUMIFS('Unos prihoda i primitaka'!$I$3:$I$501,'Unos prihoda i primitaka'!$C$3:$C$501,"=41",'Unos prihoda i primitaka'!$L$3:$L$501,"=64")</f>
        <v>0</v>
      </c>
      <c r="I39" s="126">
        <f>SUMIFS('Unos prihoda i primitaka'!$I$3:$I$501,'Unos prihoda i primitaka'!$C$3:$C$501,"=43",'Unos prihoda i primitaka'!$L$3:$L$501,"=64")</f>
        <v>0</v>
      </c>
      <c r="J39" s="126">
        <f>SUMIFS('Unos prihoda i primitaka'!$I$3:$I$501,'Unos prihoda i primitaka'!$C$3:$C$501,"=51",'Unos prihoda i primitaka'!$L$3:$L$501,"=64")</f>
        <v>0</v>
      </c>
      <c r="K39" s="126">
        <f>SUMIFS('Unos prihoda i primitaka'!$I$3:$I$501,'Unos prihoda i primitaka'!$C$3:$C$501,"=52",'Unos prihoda i primitaka'!$L$3:$L$501,"=64")</f>
        <v>0</v>
      </c>
      <c r="L39" s="126">
        <f>SUMIFS('Unos prihoda i primitaka'!$I$3:$I$501,'Unos prihoda i primitaka'!$C$3:$C$501,"=552",'Unos prihoda i primitaka'!$L$3:$L$501,"=64")</f>
        <v>0</v>
      </c>
      <c r="M39" s="126">
        <f>SUMIFS('Unos prihoda i primitaka'!$I$3:$I$501,'Unos prihoda i primitaka'!$C$3:$C$501,"=559",'Unos prihoda i primitaka'!$L$3:$L$501,"=64")</f>
        <v>0</v>
      </c>
      <c r="N39" s="126">
        <f>SUMIFS('Unos prihoda i primitaka'!$I$3:$I$501,'Unos prihoda i primitaka'!$C$3:$C$501,"=561",'Unos prihoda i primitaka'!$L$3:$L$501,"=64")</f>
        <v>0</v>
      </c>
      <c r="O39" s="126">
        <f>SUMIFS('Unos prihoda i primitaka'!$I$3:$I$501,'Unos prihoda i primitaka'!$C$3:$C$501,"=563",'Unos prihoda i primitaka'!$L$3:$L$501,"=64")</f>
        <v>0</v>
      </c>
      <c r="P39" s="126">
        <f>SUMIFS('Unos prihoda i primitaka'!$I$3:$I$501,'Unos prihoda i primitaka'!$C$3:$C$501,"=573",'Unos prihoda i primitaka'!$L$3:$L$501,"=64")</f>
        <v>0</v>
      </c>
      <c r="Q39" s="126">
        <f>SUMIFS('Unos prihoda i primitaka'!$I$3:$I$501,'Unos prihoda i primitaka'!$C$3:$C$501,"=575",'Unos prihoda i primitaka'!$L$3:$L$501,"=64")</f>
        <v>0</v>
      </c>
      <c r="R39" s="126">
        <f>SUMIFS('Unos prihoda i primitaka'!$I$3:$I$501,'Unos prihoda i primitaka'!$C$3:$C$501,"=576",'Unos prihoda i primitaka'!$L$3:$L$501,"=64")</f>
        <v>0</v>
      </c>
      <c r="S39" s="126">
        <f>SUMIFS('Unos prihoda i primitaka'!$I$3:$I$501,'Unos prihoda i primitaka'!$C$3:$C$501,"=581",'Unos prihoda i primitaka'!$L$3:$L$501,"=64")</f>
        <v>0</v>
      </c>
      <c r="T39" s="126">
        <f>SUMIFS('Unos prihoda i primitaka'!$I$3:$I$501,'Unos prihoda i primitaka'!$C$3:$C$501,"=61",'Unos prihoda i primitaka'!$L$3:$L$501,"=64")</f>
        <v>0</v>
      </c>
      <c r="U39" s="126">
        <f>SUMIFS('Unos prihoda i primitaka'!$I$3:$I$501,'Unos prihoda i primitaka'!$C$3:$C$501,"=63",'Unos prihoda i primitaka'!$L$3:$L$501,"=64")</f>
        <v>0</v>
      </c>
      <c r="V39" s="126">
        <f>SUMIFS('Unos prihoda i primitaka'!$I$3:$I$501,'Unos prihoda i primitaka'!$C$3:$C$501,"=71",'Unos prihoda i primitaka'!$L$3:$L$501,"=64")</f>
        <v>0</v>
      </c>
    </row>
    <row r="40" spans="1:22" s="41" customFormat="1" ht="25.5">
      <c r="A40" s="285">
        <v>2025</v>
      </c>
      <c r="B40" s="44" t="s">
        <v>5096</v>
      </c>
      <c r="C40" s="45" t="s">
        <v>5097</v>
      </c>
      <c r="D40" s="30">
        <f t="shared" si="8"/>
        <v>1622410</v>
      </c>
      <c r="E40" s="126">
        <f>SUMIFS('Unos prihoda i primitaka'!$I$3:$I$501,'Unos prihoda i primitaka'!$C$3:$C$501,"=11",'Unos prihoda i primitaka'!$L$3:$L$501,"=65")</f>
        <v>0</v>
      </c>
      <c r="F40" s="126">
        <f>SUMIFS('Unos prihoda i primitaka'!$I$3:$I$501,'Unos prihoda i primitaka'!$C$3:$C$501,"=12",'Unos prihoda i primitaka'!$L$3:$L$501,"=65")</f>
        <v>0</v>
      </c>
      <c r="G40" s="126">
        <f>SUMIFS('Unos prihoda i primitaka'!$I$3:$I$501,'Unos prihoda i primitaka'!$C$3:$C$501,"=31",'Unos prihoda i primitaka'!$L$3:$L$501,"=65")</f>
        <v>0</v>
      </c>
      <c r="H40" s="126">
        <f>SUMIFS('Unos prihoda i primitaka'!$I$3:$I$501,'Unos prihoda i primitaka'!$C$3:$C$501,"=41",'Unos prihoda i primitaka'!$L$3:$L$501,"=65")</f>
        <v>0</v>
      </c>
      <c r="I40" s="126">
        <f>SUMIFS('Unos prihoda i primitaka'!$I$3:$I$501,'Unos prihoda i primitaka'!$C$3:$C$501,"=43",'Unos prihoda i primitaka'!$L$3:$L$501,"=65")</f>
        <v>1622410</v>
      </c>
      <c r="J40" s="126">
        <f>SUMIFS('Unos prihoda i primitaka'!$I$3:$I$501,'Unos prihoda i primitaka'!$C$3:$C$501,"=51",'Unos prihoda i primitaka'!$L$3:$L$501,"=65")</f>
        <v>0</v>
      </c>
      <c r="K40" s="126">
        <f>SUMIFS('Unos prihoda i primitaka'!$I$3:$I$501,'Unos prihoda i primitaka'!$C$3:$C$501,"=52",'Unos prihoda i primitaka'!$L$3:$L$501,"=65")</f>
        <v>0</v>
      </c>
      <c r="L40" s="126">
        <f>SUMIFS('Unos prihoda i primitaka'!$I$3:$I$501,'Unos prihoda i primitaka'!$C$3:$C$501,"=552",'Unos prihoda i primitaka'!$L$3:$L$501,"=65")</f>
        <v>0</v>
      </c>
      <c r="M40" s="126">
        <f>SUMIFS('Unos prihoda i primitaka'!$I$3:$I$501,'Unos prihoda i primitaka'!$C$3:$C$501,"=559",'Unos prihoda i primitaka'!$L$3:$L$501,"=65")</f>
        <v>0</v>
      </c>
      <c r="N40" s="126">
        <f>SUMIFS('Unos prihoda i primitaka'!$I$3:$I$501,'Unos prihoda i primitaka'!$C$3:$C$501,"=561",'Unos prihoda i primitaka'!$L$3:$L$501,"=65")</f>
        <v>0</v>
      </c>
      <c r="O40" s="126">
        <f>SUMIFS('Unos prihoda i primitaka'!$I$3:$I$501,'Unos prihoda i primitaka'!$C$3:$C$501,"=563",'Unos prihoda i primitaka'!$L$3:$L$501,"=65")</f>
        <v>0</v>
      </c>
      <c r="P40" s="126">
        <f>SUMIFS('Unos prihoda i primitaka'!$I$3:$I$501,'Unos prihoda i primitaka'!$C$3:$C$501,"=573",'Unos prihoda i primitaka'!$L$3:$L$501,"=65")</f>
        <v>0</v>
      </c>
      <c r="Q40" s="126">
        <f>SUMIFS('Unos prihoda i primitaka'!$I$3:$I$501,'Unos prihoda i primitaka'!$C$3:$C$501,"=575",'Unos prihoda i primitaka'!$L$3:$L$501,"=65")</f>
        <v>0</v>
      </c>
      <c r="R40" s="126">
        <f>SUMIFS('Unos prihoda i primitaka'!$I$3:$I$501,'Unos prihoda i primitaka'!$C$3:$C$501,"=576",'Unos prihoda i primitaka'!$L$3:$L$501,"=65")</f>
        <v>0</v>
      </c>
      <c r="S40" s="126">
        <f>SUMIFS('Unos prihoda i primitaka'!$I$3:$I$501,'Unos prihoda i primitaka'!$C$3:$C$501,"=581",'Unos prihoda i primitaka'!$L$3:$L$501,"=65")</f>
        <v>0</v>
      </c>
      <c r="T40" s="126">
        <f>SUMIFS('Unos prihoda i primitaka'!$I$3:$I$501,'Unos prihoda i primitaka'!$C$3:$C$501,"=61",'Unos prihoda i primitaka'!$L$3:$L$501,"=65")</f>
        <v>0</v>
      </c>
      <c r="U40" s="126">
        <f>SUMIFS('Unos prihoda i primitaka'!$I$3:$I$501,'Unos prihoda i primitaka'!$C$3:$C$501,"=63",'Unos prihoda i primitaka'!$L$3:$L$501,"=65")</f>
        <v>0</v>
      </c>
      <c r="V40" s="126">
        <f>SUMIFS('Unos prihoda i primitaka'!$I$3:$I$501,'Unos prihoda i primitaka'!$C$3:$C$501,"=71",'Unos prihoda i primitaka'!$L$3:$L$501,"=65")</f>
        <v>0</v>
      </c>
    </row>
    <row r="41" spans="1:22" s="41" customFormat="1" ht="25.5">
      <c r="A41" s="285">
        <v>2025</v>
      </c>
      <c r="B41" s="140" t="s">
        <v>5099</v>
      </c>
      <c r="C41" s="45" t="s">
        <v>5098</v>
      </c>
      <c r="D41" s="30">
        <f t="shared" si="8"/>
        <v>310374</v>
      </c>
      <c r="E41" s="126">
        <f>SUMIFS('Unos prihoda i primitaka'!$I$3:$I$501,'Unos prihoda i primitaka'!$C$3:$C$501,"=11",'Unos prihoda i primitaka'!$L$3:$L$501,"=66")</f>
        <v>0</v>
      </c>
      <c r="F41" s="126">
        <f>SUMIFS('Unos prihoda i primitaka'!$I$3:$I$501,'Unos prihoda i primitaka'!$C$3:$C$501,"=12",'Unos prihoda i primitaka'!$L$3:$L$501,"=66")</f>
        <v>0</v>
      </c>
      <c r="G41" s="126">
        <f>SUMIFS('Unos prihoda i primitaka'!$I$3:$I$501,'Unos prihoda i primitaka'!$C$3:$C$501,"=31",'Unos prihoda i primitaka'!$L$3:$L$501,"=66")</f>
        <v>310374</v>
      </c>
      <c r="H41" s="126">
        <f>SUMIFS('Unos prihoda i primitaka'!$I$3:$I$501,'Unos prihoda i primitaka'!$C$3:$C$501,"=41",'Unos prihoda i primitaka'!$L$3:$L$501,"=66")</f>
        <v>0</v>
      </c>
      <c r="I41" s="126">
        <f>SUMIFS('Unos prihoda i primitaka'!$I$3:$I$501,'Unos prihoda i primitaka'!$C$3:$C$501,"=43",'Unos prihoda i primitaka'!$L$3:$L$501,"=66")</f>
        <v>0</v>
      </c>
      <c r="J41" s="126">
        <f>SUMIFS('Unos prihoda i primitaka'!$I$3:$I$501,'Unos prihoda i primitaka'!$C$3:$C$501,"=51",'Unos prihoda i primitaka'!$L$3:$L$501,"=66")</f>
        <v>0</v>
      </c>
      <c r="K41" s="126">
        <f>SUMIFS('Unos prihoda i primitaka'!$I$3:$I$501,'Unos prihoda i primitaka'!$C$3:$C$501,"=52",'Unos prihoda i primitaka'!$L$3:$L$501,"=66")</f>
        <v>0</v>
      </c>
      <c r="L41" s="126">
        <f>SUMIFS('Unos prihoda i primitaka'!$I$3:$I$501,'Unos prihoda i primitaka'!$C$3:$C$501,"=552",'Unos prihoda i primitaka'!$L$3:$L$501,"=66")</f>
        <v>0</v>
      </c>
      <c r="M41" s="126">
        <f>SUMIFS('Unos prihoda i primitaka'!$I$3:$I$501,'Unos prihoda i primitaka'!$C$3:$C$501,"=559",'Unos prihoda i primitaka'!$L$3:$L$501,"=66")</f>
        <v>0</v>
      </c>
      <c r="N41" s="126">
        <f>SUMIFS('Unos prihoda i primitaka'!$I$3:$I$501,'Unos prihoda i primitaka'!$C$3:$C$501,"=561",'Unos prihoda i primitaka'!$L$3:$L$501,"=66")</f>
        <v>0</v>
      </c>
      <c r="O41" s="126">
        <f>SUMIFS('Unos prihoda i primitaka'!$I$3:$I$501,'Unos prihoda i primitaka'!$C$3:$C$501,"=563",'Unos prihoda i primitaka'!$L$3:$L$501,"=66")</f>
        <v>0</v>
      </c>
      <c r="P41" s="126">
        <f>SUMIFS('Unos prihoda i primitaka'!$I$3:$I$501,'Unos prihoda i primitaka'!$C$3:$C$501,"=573",'Unos prihoda i primitaka'!$L$3:$L$501,"=66")</f>
        <v>0</v>
      </c>
      <c r="Q41" s="126">
        <f>SUMIFS('Unos prihoda i primitaka'!$I$3:$I$501,'Unos prihoda i primitaka'!$C$3:$C$501,"=575",'Unos prihoda i primitaka'!$L$3:$L$501,"=66")</f>
        <v>0</v>
      </c>
      <c r="R41" s="126">
        <f>SUMIFS('Unos prihoda i primitaka'!$I$3:$I$501,'Unos prihoda i primitaka'!$C$3:$C$501,"=576",'Unos prihoda i primitaka'!$L$3:$L$501,"=66")</f>
        <v>0</v>
      </c>
      <c r="S41" s="126">
        <f>SUMIFS('Unos prihoda i primitaka'!$I$3:$I$501,'Unos prihoda i primitaka'!$C$3:$C$501,"=581",'Unos prihoda i primitaka'!$L$3:$L$501,"=66")</f>
        <v>0</v>
      </c>
      <c r="T41" s="126">
        <f>SUMIFS('Unos prihoda i primitaka'!$I$3:$I$501,'Unos prihoda i primitaka'!$C$3:$C$501,"=61",'Unos prihoda i primitaka'!$L$3:$L$501,"=66")</f>
        <v>0</v>
      </c>
      <c r="U41" s="126">
        <f>SUMIFS('Unos prihoda i primitaka'!$I$3:$I$501,'Unos prihoda i primitaka'!$C$3:$C$501,"=63",'Unos prihoda i primitaka'!$L$3:$L$501,"=66")</f>
        <v>0</v>
      </c>
      <c r="V41" s="126">
        <f>SUMIFS('Unos prihoda i primitaka'!$I$3:$I$501,'Unos prihoda i primitaka'!$C$3:$C$501,"=71",'Unos prihoda i primitaka'!$L$3:$L$501,"=66")</f>
        <v>0</v>
      </c>
    </row>
    <row r="42" spans="1:22" s="41" customFormat="1" ht="25.5">
      <c r="A42" s="285">
        <v>2025</v>
      </c>
      <c r="B42" s="44" t="s">
        <v>5102</v>
      </c>
      <c r="C42" s="45" t="s">
        <v>5111</v>
      </c>
      <c r="D42" s="30">
        <f t="shared" si="8"/>
        <v>7258335</v>
      </c>
      <c r="E42" s="126">
        <f>SUMIFS('Unos prihoda i primitaka'!$I$3:$I$501,'Unos prihoda i primitaka'!$C$3:$C$501,"=11",'Unos prihoda i primitaka'!$L$3:$L$501,"=67")</f>
        <v>7258335</v>
      </c>
      <c r="F42" s="126">
        <f>SUMIFS('Unos prihoda i primitaka'!$I$3:$I$501,'Unos prihoda i primitaka'!$C$3:$C$501,"=12",'Unos prihoda i primitaka'!$L$3:$L$501,"=67")</f>
        <v>0</v>
      </c>
      <c r="G42" s="126">
        <f>SUMIFS('Unos prihoda i primitaka'!$I$3:$I$501,'Unos prihoda i primitaka'!$C$3:$C$501,"=31",'Unos prihoda i primitaka'!$L$3:$L$501,"=67")</f>
        <v>0</v>
      </c>
      <c r="H42" s="126">
        <f>SUMIFS('Unos prihoda i primitaka'!$I$3:$I$501,'Unos prihoda i primitaka'!$C$3:$C$501,"=41",'Unos prihoda i primitaka'!$L$3:$L$501,"=67")</f>
        <v>0</v>
      </c>
      <c r="I42" s="126">
        <f>SUMIFS('Unos prihoda i primitaka'!$I$3:$I$501,'Unos prihoda i primitaka'!$C$3:$C$501,"=43",'Unos prihoda i primitaka'!$L$3:$L$501,"=67")</f>
        <v>0</v>
      </c>
      <c r="J42" s="126">
        <f>SUMIFS('Unos prihoda i primitaka'!$I$3:$I$501,'Unos prihoda i primitaka'!$C$3:$C$501,"=51",'Unos prihoda i primitaka'!$L$3:$L$501,"=67")</f>
        <v>0</v>
      </c>
      <c r="K42" s="126">
        <f>SUMIFS('Unos prihoda i primitaka'!$I$3:$I$501,'Unos prihoda i primitaka'!$C$3:$C$501,"=52",'Unos prihoda i primitaka'!$L$3:$L$501,"=67")</f>
        <v>0</v>
      </c>
      <c r="L42" s="126">
        <f>SUMIFS('Unos prihoda i primitaka'!$I$3:$I$501,'Unos prihoda i primitaka'!$C$3:$C$501,"=552",'Unos prihoda i primitaka'!$L$3:$L$501,"=67")</f>
        <v>0</v>
      </c>
      <c r="M42" s="126">
        <f>SUMIFS('Unos prihoda i primitaka'!$I$3:$I$501,'Unos prihoda i primitaka'!$C$3:$C$501,"=559",'Unos prihoda i primitaka'!$L$3:$L$501,"=67")</f>
        <v>0</v>
      </c>
      <c r="N42" s="126">
        <f>SUMIFS('Unos prihoda i primitaka'!$I$3:$I$501,'Unos prihoda i primitaka'!$C$3:$C$501,"=561",'Unos prihoda i primitaka'!$L$3:$L$501,"=67")</f>
        <v>0</v>
      </c>
      <c r="O42" s="126">
        <f>SUMIFS('Unos prihoda i primitaka'!$I$3:$I$501,'Unos prihoda i primitaka'!$C$3:$C$501,"=563",'Unos prihoda i primitaka'!$L$3:$L$501,"=67")</f>
        <v>0</v>
      </c>
      <c r="P42" s="126">
        <f>SUMIFS('Unos prihoda i primitaka'!$I$3:$I$501,'Unos prihoda i primitaka'!$C$3:$C$501,"=573",'Unos prihoda i primitaka'!$L$3:$L$501,"=67")</f>
        <v>0</v>
      </c>
      <c r="Q42" s="126">
        <f>SUMIFS('Unos prihoda i primitaka'!$I$3:$I$501,'Unos prihoda i primitaka'!$C$3:$C$501,"=575",'Unos prihoda i primitaka'!$L$3:$L$501,"=67")</f>
        <v>0</v>
      </c>
      <c r="R42" s="126">
        <f>SUMIFS('Unos prihoda i primitaka'!$I$3:$I$501,'Unos prihoda i primitaka'!$C$3:$C$501,"=576",'Unos prihoda i primitaka'!$L$3:$L$501,"=67")</f>
        <v>0</v>
      </c>
      <c r="S42" s="126">
        <f>SUMIFS('Unos prihoda i primitaka'!$I$3:$I$501,'Unos prihoda i primitaka'!$C$3:$C$501,"=581",'Unos prihoda i primitaka'!$L$3:$L$501,"=67")</f>
        <v>0</v>
      </c>
      <c r="T42" s="126">
        <f>SUMIFS('Unos prihoda i primitaka'!$I$3:$I$501,'Unos prihoda i primitaka'!$C$3:$C$501,"=61",'Unos prihoda i primitaka'!$L$3:$L$501,"=67")</f>
        <v>0</v>
      </c>
      <c r="U42" s="126">
        <f>SUMIFS('Unos prihoda i primitaka'!$I$3:$I$501,'Unos prihoda i primitaka'!$C$3:$C$501,"=63",'Unos prihoda i primitaka'!$L$3:$L$501,"=67")</f>
        <v>0</v>
      </c>
      <c r="V42" s="126">
        <f>SUMIFS('Unos prihoda i primitaka'!$I$3:$I$501,'Unos prihoda i primitaka'!$C$3:$C$501,"=71",'Unos prihoda i primitaka'!$L$3:$L$501,"=67")</f>
        <v>0</v>
      </c>
    </row>
    <row r="43" spans="1:22" s="41" customFormat="1">
      <c r="A43" s="285">
        <v>2025</v>
      </c>
      <c r="B43" s="44" t="s">
        <v>5101</v>
      </c>
      <c r="C43" s="45" t="s">
        <v>5100</v>
      </c>
      <c r="D43" s="30">
        <f t="shared" si="8"/>
        <v>0</v>
      </c>
      <c r="E43" s="126">
        <f>SUMIFS('Unos prihoda i primitaka'!$I$3:$I$501,'Unos prihoda i primitaka'!$C$3:$C$501,"=11",'Unos prihoda i primitaka'!$L$3:$L$501,"=68")</f>
        <v>0</v>
      </c>
      <c r="F43" s="126">
        <f>SUMIFS('Unos prihoda i primitaka'!$I$3:$I$501,'Unos prihoda i primitaka'!$C$3:$C$501,"=12",'Unos prihoda i primitaka'!$L$3:$L$501,"=68")</f>
        <v>0</v>
      </c>
      <c r="G43" s="126">
        <f>SUMIFS('Unos prihoda i primitaka'!$I$3:$I$501,'Unos prihoda i primitaka'!$C$3:$C$501,"=31",'Unos prihoda i primitaka'!$L$3:$L$501,"=68")</f>
        <v>0</v>
      </c>
      <c r="H43" s="126">
        <f>SUMIFS('Unos prihoda i primitaka'!$I$3:$I$501,'Unos prihoda i primitaka'!$C$3:$C$501,"=41",'Unos prihoda i primitaka'!$L$3:$L$501,"=68")</f>
        <v>0</v>
      </c>
      <c r="I43" s="126">
        <f>SUMIFS('Unos prihoda i primitaka'!$I$3:$I$501,'Unos prihoda i primitaka'!$C$3:$C$501,"=43",'Unos prihoda i primitaka'!$L$3:$L$501,"=68")</f>
        <v>0</v>
      </c>
      <c r="J43" s="126">
        <f>SUMIFS('Unos prihoda i primitaka'!$I$3:$I$501,'Unos prihoda i primitaka'!$C$3:$C$501,"=51",'Unos prihoda i primitaka'!$L$3:$L$501,"=68")</f>
        <v>0</v>
      </c>
      <c r="K43" s="126">
        <f>SUMIFS('Unos prihoda i primitaka'!$I$3:$I$501,'Unos prihoda i primitaka'!$C$3:$C$501,"=52",'Unos prihoda i primitaka'!$L$3:$L$501,"=68")</f>
        <v>0</v>
      </c>
      <c r="L43" s="126">
        <f>SUMIFS('Unos prihoda i primitaka'!$I$3:$I$501,'Unos prihoda i primitaka'!$C$3:$C$501,"=552",'Unos prihoda i primitaka'!$L$3:$L$501,"=68")</f>
        <v>0</v>
      </c>
      <c r="M43" s="126">
        <f>SUMIFS('Unos prihoda i primitaka'!$I$3:$I$501,'Unos prihoda i primitaka'!$C$3:$C$501,"=559",'Unos prihoda i primitaka'!$L$3:$L$501,"=68")</f>
        <v>0</v>
      </c>
      <c r="N43" s="126">
        <f>SUMIFS('Unos prihoda i primitaka'!$I$3:$I$501,'Unos prihoda i primitaka'!$C$3:$C$501,"=561",'Unos prihoda i primitaka'!$L$3:$L$501,"=68")</f>
        <v>0</v>
      </c>
      <c r="O43" s="126">
        <f>SUMIFS('Unos prihoda i primitaka'!$I$3:$I$501,'Unos prihoda i primitaka'!$C$3:$C$501,"=563",'Unos prihoda i primitaka'!$L$3:$L$501,"=68")</f>
        <v>0</v>
      </c>
      <c r="P43" s="126">
        <f>SUMIFS('Unos prihoda i primitaka'!$I$3:$I$501,'Unos prihoda i primitaka'!$C$3:$C$501,"=573",'Unos prihoda i primitaka'!$L$3:$L$501,"=68")</f>
        <v>0</v>
      </c>
      <c r="Q43" s="126">
        <f>SUMIFS('Unos prihoda i primitaka'!$I$3:$I$501,'Unos prihoda i primitaka'!$C$3:$C$501,"=575",'Unos prihoda i primitaka'!$L$3:$L$501,"=68")</f>
        <v>0</v>
      </c>
      <c r="R43" s="126">
        <f>SUMIFS('Unos prihoda i primitaka'!$I$3:$I$501,'Unos prihoda i primitaka'!$C$3:$C$501,"=576",'Unos prihoda i primitaka'!$L$3:$L$501,"=68")</f>
        <v>0</v>
      </c>
      <c r="S43" s="126">
        <f>SUMIFS('Unos prihoda i primitaka'!$I$3:$I$501,'Unos prihoda i primitaka'!$C$3:$C$501,"=581",'Unos prihoda i primitaka'!$L$3:$L$501,"=68")</f>
        <v>0</v>
      </c>
      <c r="T43" s="126">
        <f>SUMIFS('Unos prihoda i primitaka'!$I$3:$I$501,'Unos prihoda i primitaka'!$C$3:$C$501,"=61",'Unos prihoda i primitaka'!$L$3:$L$501,"=68")</f>
        <v>0</v>
      </c>
      <c r="U43" s="126">
        <f>SUMIFS('Unos prihoda i primitaka'!$I$3:$I$501,'Unos prihoda i primitaka'!$C$3:$C$501,"=63",'Unos prihoda i primitaka'!$L$3:$L$501,"=68")</f>
        <v>0</v>
      </c>
      <c r="V43" s="126">
        <f>SUMIFS('Unos prihoda i primitaka'!$I$3:$I$501,'Unos prihoda i primitaka'!$C$3:$C$501,"=71",'Unos prihoda i primitaka'!$L$3:$L$501,"=68")</f>
        <v>0</v>
      </c>
    </row>
    <row r="44" spans="1:22" s="41" customFormat="1">
      <c r="A44" s="285">
        <v>2025</v>
      </c>
      <c r="B44" s="47" t="s">
        <v>247</v>
      </c>
      <c r="C44" s="48" t="s">
        <v>248</v>
      </c>
      <c r="D44" s="30">
        <f t="shared" si="8"/>
        <v>9235800</v>
      </c>
      <c r="E44" s="4">
        <f t="shared" ref="E44:V44" si="10">SUM(E37:E43)</f>
        <v>7258335</v>
      </c>
      <c r="F44" s="4">
        <f t="shared" si="10"/>
        <v>0</v>
      </c>
      <c r="G44" s="4">
        <f t="shared" si="10"/>
        <v>310374</v>
      </c>
      <c r="H44" s="4">
        <f t="shared" si="10"/>
        <v>0</v>
      </c>
      <c r="I44" s="4">
        <f t="shared" si="10"/>
        <v>1622410</v>
      </c>
      <c r="J44" s="4">
        <f t="shared" si="10"/>
        <v>9381</v>
      </c>
      <c r="K44" s="4">
        <f t="shared" si="10"/>
        <v>35300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0</v>
      </c>
      <c r="T44" s="4">
        <f t="shared" si="10"/>
        <v>0</v>
      </c>
      <c r="U44" s="4">
        <f t="shared" si="10"/>
        <v>0</v>
      </c>
      <c r="V44" s="4">
        <f t="shared" si="10"/>
        <v>0</v>
      </c>
    </row>
    <row r="45" spans="1:22" s="41" customFormat="1">
      <c r="A45" s="285">
        <v>2025</v>
      </c>
      <c r="B45" s="44" t="s">
        <v>5103</v>
      </c>
      <c r="C45" s="49" t="s">
        <v>5104</v>
      </c>
      <c r="D45" s="30">
        <f t="shared" si="8"/>
        <v>0</v>
      </c>
      <c r="E45" s="126">
        <f>SUMIFS('Unos prihoda i primitaka'!$I$3:$I$501,'Unos prihoda i primitaka'!$C$3:$C$501,"=11",'Unos prihoda i primitaka'!$L$3:$L$501,"=71")</f>
        <v>0</v>
      </c>
      <c r="F45" s="126">
        <f>SUMIFS('Unos prihoda i primitaka'!$I$3:$I$501,'Unos prihoda i primitaka'!$C$3:$C$501,"=12",'Unos prihoda i primitaka'!$L$3:$L$501,"=71")</f>
        <v>0</v>
      </c>
      <c r="G45" s="126">
        <f>SUMIFS('Unos prihoda i primitaka'!$I$3:$I$501,'Unos prihoda i primitaka'!$C$3:$C$501,"=31",'Unos prihoda i primitaka'!$L$3:$L$501,"=71")</f>
        <v>0</v>
      </c>
      <c r="H45" s="126">
        <f>SUMIFS('Unos prihoda i primitaka'!$I$3:$I$501,'Unos prihoda i primitaka'!$C$3:$C$501,"=41",'Unos prihoda i primitaka'!$L$3:$L$501,"=71")</f>
        <v>0</v>
      </c>
      <c r="I45" s="126">
        <f>SUMIFS('Unos prihoda i primitaka'!$I$3:$I$501,'Unos prihoda i primitaka'!$C$3:$C$501,"=43",'Unos prihoda i primitaka'!$L$3:$L$501,"=71")</f>
        <v>0</v>
      </c>
      <c r="J45" s="126">
        <f>SUMIFS('Unos prihoda i primitaka'!$I$3:$I$501,'Unos prihoda i primitaka'!$C$3:$C$501,"=51",'Unos prihoda i primitaka'!$L$3:$L$501,"=71")</f>
        <v>0</v>
      </c>
      <c r="K45" s="126">
        <f>SUMIFS('Unos prihoda i primitaka'!$I$3:$I$501,'Unos prihoda i primitaka'!$C$3:$C$501,"=52",'Unos prihoda i primitaka'!$L$3:$L$501,"=71")</f>
        <v>0</v>
      </c>
      <c r="L45" s="126">
        <f>SUMIFS('Unos prihoda i primitaka'!$I$3:$I$501,'Unos prihoda i primitaka'!$C$3:$C$501,"=552",'Unos prihoda i primitaka'!$L$3:$L$501,"=71")</f>
        <v>0</v>
      </c>
      <c r="M45" s="126">
        <f>SUMIFS('Unos prihoda i primitaka'!$I$3:$I$501,'Unos prihoda i primitaka'!$C$3:$C$501,"=559",'Unos prihoda i primitaka'!$L$3:$L$501,"=71")</f>
        <v>0</v>
      </c>
      <c r="N45" s="126">
        <f>SUMIFS('Unos prihoda i primitaka'!$I$3:$I$501,'Unos prihoda i primitaka'!$C$3:$C$501,"=561",'Unos prihoda i primitaka'!$L$3:$L$501,"=71")</f>
        <v>0</v>
      </c>
      <c r="O45" s="126">
        <f>SUMIFS('Unos prihoda i primitaka'!$I$3:$I$501,'Unos prihoda i primitaka'!$C$3:$C$501,"=563",'Unos prihoda i primitaka'!$L$3:$L$501,"=71")</f>
        <v>0</v>
      </c>
      <c r="P45" s="126">
        <f>SUMIFS('Unos prihoda i primitaka'!$I$3:$I$501,'Unos prihoda i primitaka'!$C$3:$C$501,"=573",'Unos prihoda i primitaka'!$L$3:$L$501,"=71")</f>
        <v>0</v>
      </c>
      <c r="Q45" s="126">
        <f>SUMIFS('Unos prihoda i primitaka'!$I$3:$I$501,'Unos prihoda i primitaka'!$C$3:$C$501,"=575",'Unos prihoda i primitaka'!$L$3:$L$501,"=71")</f>
        <v>0</v>
      </c>
      <c r="R45" s="126">
        <f>SUMIFS('Unos prihoda i primitaka'!$I$3:$I$501,'Unos prihoda i primitaka'!$C$3:$C$501,"=576",'Unos prihoda i primitaka'!$L$3:$L$501,"=71")</f>
        <v>0</v>
      </c>
      <c r="S45" s="126">
        <f>SUMIFS('Unos prihoda i primitaka'!$I$3:$I$501,'Unos prihoda i primitaka'!$C$3:$C$501,"=581",'Unos prihoda i primitaka'!$L$3:$L$501,"=71")</f>
        <v>0</v>
      </c>
      <c r="T45" s="126">
        <f>SUMIFS('Unos prihoda i primitaka'!$I$3:$I$501,'Unos prihoda i primitaka'!$C$3:$C$501,"=61",'Unos prihoda i primitaka'!$L$3:$L$501,"=71")</f>
        <v>0</v>
      </c>
      <c r="U45" s="126">
        <f>SUMIFS('Unos prihoda i primitaka'!$I$3:$I$501,'Unos prihoda i primitaka'!$C$3:$C$501,"=63",'Unos prihoda i primitaka'!$L$3:$L$501,"=71")</f>
        <v>0</v>
      </c>
      <c r="V45" s="126">
        <f>SUMIFS('Unos prihoda i primitaka'!$I$3:$I$501,'Unos prihoda i primitaka'!$C$3:$C$501,"=71",'Unos prihoda i primitaka'!$L$3:$L$501,"=71")</f>
        <v>0</v>
      </c>
    </row>
    <row r="46" spans="1:22" s="41" customFormat="1">
      <c r="A46" s="285">
        <v>2025</v>
      </c>
      <c r="B46" s="44" t="s">
        <v>5105</v>
      </c>
      <c r="C46" s="49" t="s">
        <v>5106</v>
      </c>
      <c r="D46" s="30">
        <f t="shared" si="8"/>
        <v>0</v>
      </c>
      <c r="E46" s="126">
        <f>SUMIFS('Unos prihoda i primitaka'!$I$3:$I$501,'Unos prihoda i primitaka'!$C$3:$C$501,"=11",'Unos prihoda i primitaka'!$L$3:$L$501,"=72")</f>
        <v>0</v>
      </c>
      <c r="F46" s="126">
        <f>SUMIFS('Unos prihoda i primitaka'!$I$3:$I$501,'Unos prihoda i primitaka'!$C$3:$C$501,"=12",'Unos prihoda i primitaka'!$L$3:$L$501,"=72")</f>
        <v>0</v>
      </c>
      <c r="G46" s="126">
        <f>SUMIFS('Unos prihoda i primitaka'!$I$3:$I$501,'Unos prihoda i primitaka'!$C$3:$C$501,"=31",'Unos prihoda i primitaka'!$L$3:$L$501,"=72")</f>
        <v>0</v>
      </c>
      <c r="H46" s="126">
        <f>SUMIFS('Unos prihoda i primitaka'!$I$3:$I$501,'Unos prihoda i primitaka'!$C$3:$C$501,"=41",'Unos prihoda i primitaka'!$L$3:$L$501,"=72")</f>
        <v>0</v>
      </c>
      <c r="I46" s="126">
        <f>SUMIFS('Unos prihoda i primitaka'!$I$3:$I$501,'Unos prihoda i primitaka'!$C$3:$C$501,"=43",'Unos prihoda i primitaka'!$L$3:$L$501,"=72")</f>
        <v>0</v>
      </c>
      <c r="J46" s="126">
        <f>SUMIFS('Unos prihoda i primitaka'!$I$3:$I$501,'Unos prihoda i primitaka'!$C$3:$C$501,"=51",'Unos prihoda i primitaka'!$L$3:$L$501,"=72")</f>
        <v>0</v>
      </c>
      <c r="K46" s="126">
        <f>SUMIFS('Unos prihoda i primitaka'!$I$3:$I$501,'Unos prihoda i primitaka'!$C$3:$C$501,"=52",'Unos prihoda i primitaka'!$L$3:$L$501,"=72")</f>
        <v>0</v>
      </c>
      <c r="L46" s="126">
        <f>SUMIFS('Unos prihoda i primitaka'!$I$3:$I$501,'Unos prihoda i primitaka'!$C$3:$C$501,"=552",'Unos prihoda i primitaka'!$L$3:$L$501,"=72")</f>
        <v>0</v>
      </c>
      <c r="M46" s="126">
        <f>SUMIFS('Unos prihoda i primitaka'!$I$3:$I$501,'Unos prihoda i primitaka'!$C$3:$C$501,"=559",'Unos prihoda i primitaka'!$L$3:$L$501,"=72")</f>
        <v>0</v>
      </c>
      <c r="N46" s="126">
        <f>SUMIFS('Unos prihoda i primitaka'!$I$3:$I$501,'Unos prihoda i primitaka'!$C$3:$C$501,"=561",'Unos prihoda i primitaka'!$L$3:$L$501,"=72")</f>
        <v>0</v>
      </c>
      <c r="O46" s="126">
        <f>SUMIFS('Unos prihoda i primitaka'!$I$3:$I$501,'Unos prihoda i primitaka'!$C$3:$C$501,"=563",'Unos prihoda i primitaka'!$L$3:$L$501,"=72")</f>
        <v>0</v>
      </c>
      <c r="P46" s="126">
        <f>SUMIFS('Unos prihoda i primitaka'!$I$3:$I$501,'Unos prihoda i primitaka'!$C$3:$C$501,"=573",'Unos prihoda i primitaka'!$L$3:$L$501,"=72")</f>
        <v>0</v>
      </c>
      <c r="Q46" s="126">
        <f>SUMIFS('Unos prihoda i primitaka'!$I$3:$I$501,'Unos prihoda i primitaka'!$C$3:$C$501,"=575",'Unos prihoda i primitaka'!$L$3:$L$501,"=72")</f>
        <v>0</v>
      </c>
      <c r="R46" s="126">
        <f>SUMIFS('Unos prihoda i primitaka'!$I$3:$I$501,'Unos prihoda i primitaka'!$C$3:$C$501,"=576",'Unos prihoda i primitaka'!$L$3:$L$501,"=72")</f>
        <v>0</v>
      </c>
      <c r="S46" s="126">
        <f>SUMIFS('Unos prihoda i primitaka'!$I$3:$I$501,'Unos prihoda i primitaka'!$C$3:$C$501,"=581",'Unos prihoda i primitaka'!$L$3:$L$501,"=72")</f>
        <v>0</v>
      </c>
      <c r="T46" s="126">
        <f>SUMIFS('Unos prihoda i primitaka'!$I$3:$I$501,'Unos prihoda i primitaka'!$C$3:$C$501,"=61",'Unos prihoda i primitaka'!$L$3:$L$501,"=72")</f>
        <v>0</v>
      </c>
      <c r="U46" s="126">
        <f>SUMIFS('Unos prihoda i primitaka'!$I$3:$I$501,'Unos prihoda i primitaka'!$C$3:$C$501,"=63",'Unos prihoda i primitaka'!$L$3:$L$501,"=72")</f>
        <v>0</v>
      </c>
      <c r="V46" s="126">
        <f>SUMIFS('Unos prihoda i primitaka'!$I$3:$I$501,'Unos prihoda i primitaka'!$C$3:$C$501,"=71",'Unos prihoda i primitaka'!$L$3:$L$501,"=72")</f>
        <v>0</v>
      </c>
    </row>
    <row r="47" spans="1:22" s="41" customFormat="1">
      <c r="A47" s="285">
        <v>2025</v>
      </c>
      <c r="B47" s="47" t="s">
        <v>249</v>
      </c>
      <c r="C47" s="48" t="s">
        <v>248</v>
      </c>
      <c r="D47" s="30">
        <f t="shared" si="8"/>
        <v>0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0</v>
      </c>
    </row>
    <row r="48" spans="1:22">
      <c r="B48" s="23"/>
      <c r="C48" s="23"/>
      <c r="D48" s="23"/>
      <c r="E48" s="23"/>
      <c r="F48" s="23"/>
      <c r="G48" s="23"/>
      <c r="H48" s="23"/>
      <c r="I48" s="52"/>
      <c r="J48" s="53"/>
      <c r="K48" s="53"/>
      <c r="L48" s="53"/>
      <c r="M48" s="53"/>
      <c r="N48" s="53"/>
      <c r="O48" s="53"/>
      <c r="P48" s="53"/>
      <c r="Q48" s="53"/>
      <c r="R48" s="53"/>
      <c r="S48" s="42"/>
    </row>
    <row r="49" spans="2:18">
      <c r="G49" s="5"/>
      <c r="H49" s="5"/>
      <c r="I49" s="24"/>
      <c r="J49" s="54"/>
      <c r="K49" s="54"/>
      <c r="L49" s="54"/>
      <c r="M49" s="54"/>
      <c r="N49" s="54"/>
      <c r="O49" s="54"/>
      <c r="P49" s="54"/>
      <c r="Q49" s="54"/>
      <c r="R49" s="54"/>
    </row>
    <row r="50" spans="2:18">
      <c r="G50" s="5"/>
      <c r="H50" s="5"/>
      <c r="I50" s="55"/>
      <c r="J50" s="56"/>
      <c r="K50" s="56"/>
      <c r="L50" s="56"/>
      <c r="M50" s="56"/>
      <c r="N50" s="56"/>
      <c r="O50" s="56"/>
      <c r="P50" s="56"/>
      <c r="Q50" s="56"/>
      <c r="R50" s="56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57"/>
      <c r="K58" s="57"/>
      <c r="L58" s="57"/>
      <c r="M58" s="57"/>
      <c r="N58" s="57"/>
      <c r="O58" s="57"/>
      <c r="P58" s="57"/>
      <c r="Q58" s="57"/>
      <c r="R58" s="57"/>
    </row>
    <row r="59" spans="2:18">
      <c r="I59" s="55"/>
      <c r="J59" s="58"/>
      <c r="K59" s="58"/>
      <c r="L59" s="58"/>
      <c r="M59" s="58"/>
      <c r="N59" s="58"/>
      <c r="O59" s="58"/>
      <c r="P59" s="58"/>
      <c r="Q59" s="58"/>
      <c r="R59" s="58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19" max="16383" man="1"/>
    <brk id="3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JC3628"/>
  <sheetViews>
    <sheetView showGridLines="0" zoomScaleNormal="100" zoomScaleSheetLayoutView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4" sqref="D4"/>
    </sheetView>
  </sheetViews>
  <sheetFormatPr defaultColWidth="11.42578125" defaultRowHeight="12.75"/>
  <cols>
    <col min="1" max="1" width="11.42578125" style="32" customWidth="1"/>
    <col min="2" max="2" width="10" style="19" customWidth="1"/>
    <col min="3" max="3" width="40" style="20" customWidth="1"/>
    <col min="4" max="4" width="13.85546875" style="1" customWidth="1"/>
    <col min="5" max="15" width="13.140625" style="21" customWidth="1"/>
    <col min="16" max="16" width="14.42578125" style="21" customWidth="1"/>
    <col min="17" max="21" width="13.140625" style="21" customWidth="1"/>
    <col min="22" max="22" width="14.7109375" style="21" customWidth="1"/>
    <col min="23" max="23" width="13.140625" style="21" customWidth="1"/>
    <col min="24" max="39" width="11.42578125" style="31" customWidth="1"/>
    <col min="40" max="193" width="11.42578125" style="31"/>
    <col min="194" max="16384" width="11.42578125" style="32"/>
  </cols>
  <sheetData>
    <row r="1" spans="1:263" ht="24" customHeight="1">
      <c r="B1" s="304" t="s">
        <v>5114</v>
      </c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</row>
    <row r="2" spans="1:263" ht="14.25" customHeight="1"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V2" s="185"/>
      <c r="W2" s="185" t="s">
        <v>5269</v>
      </c>
    </row>
    <row r="3" spans="1:263" s="33" customFormat="1" ht="63.75">
      <c r="A3" s="286" t="s">
        <v>1710</v>
      </c>
      <c r="B3" s="2" t="s">
        <v>195</v>
      </c>
      <c r="C3" s="2" t="s">
        <v>196</v>
      </c>
      <c r="D3" s="2" t="s">
        <v>3027</v>
      </c>
      <c r="E3" s="2" t="s">
        <v>37</v>
      </c>
      <c r="F3" s="2" t="s">
        <v>251</v>
      </c>
      <c r="G3" s="2" t="s">
        <v>16</v>
      </c>
      <c r="H3" s="2" t="s">
        <v>5120</v>
      </c>
      <c r="I3" s="2" t="s">
        <v>17</v>
      </c>
      <c r="J3" s="2" t="s">
        <v>240</v>
      </c>
      <c r="K3" s="2" t="s">
        <v>241</v>
      </c>
      <c r="L3" s="2" t="s">
        <v>1231</v>
      </c>
      <c r="M3" s="2" t="s">
        <v>242</v>
      </c>
      <c r="N3" s="2" t="s">
        <v>243</v>
      </c>
      <c r="O3" s="2" t="s">
        <v>244</v>
      </c>
      <c r="P3" s="2" t="s">
        <v>1232</v>
      </c>
      <c r="Q3" s="2" t="s">
        <v>5126</v>
      </c>
      <c r="R3" s="2" t="s">
        <v>5127</v>
      </c>
      <c r="S3" s="2" t="s">
        <v>3021</v>
      </c>
      <c r="T3" s="2" t="s">
        <v>245</v>
      </c>
      <c r="U3" s="2" t="s">
        <v>246</v>
      </c>
      <c r="V3" s="2" t="s">
        <v>1207</v>
      </c>
      <c r="W3" s="2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287">
        <v>2023</v>
      </c>
      <c r="B4" s="254">
        <v>2023</v>
      </c>
      <c r="C4" s="254" t="s">
        <v>259</v>
      </c>
      <c r="D4" s="66">
        <f>SUM(E4:W4)</f>
        <v>17534277</v>
      </c>
      <c r="E4" s="67">
        <f>E5+E13</f>
        <v>7198532</v>
      </c>
      <c r="F4" s="67">
        <f t="shared" ref="F4:W4" si="0">F5+F13</f>
        <v>0</v>
      </c>
      <c r="G4" s="67">
        <f t="shared" si="0"/>
        <v>291990</v>
      </c>
      <c r="H4" s="67">
        <f t="shared" si="0"/>
        <v>0</v>
      </c>
      <c r="I4" s="67">
        <f t="shared" si="0"/>
        <v>1536930</v>
      </c>
      <c r="J4" s="67">
        <f t="shared" si="0"/>
        <v>73860</v>
      </c>
      <c r="K4" s="67">
        <f>K5+K13</f>
        <v>130922</v>
      </c>
      <c r="L4" s="67">
        <f t="shared" si="0"/>
        <v>0</v>
      </c>
      <c r="M4" s="67">
        <f t="shared" si="0"/>
        <v>0</v>
      </c>
      <c r="N4" s="67">
        <f t="shared" si="0"/>
        <v>0</v>
      </c>
      <c r="O4" s="67">
        <f t="shared" si="0"/>
        <v>0</v>
      </c>
      <c r="P4" s="67">
        <f t="shared" si="0"/>
        <v>0</v>
      </c>
      <c r="Q4" s="67">
        <f t="shared" si="0"/>
        <v>0</v>
      </c>
      <c r="R4" s="67">
        <f t="shared" si="0"/>
        <v>5003386</v>
      </c>
      <c r="S4" s="67">
        <f t="shared" si="0"/>
        <v>3298657</v>
      </c>
      <c r="T4" s="67">
        <f t="shared" si="0"/>
        <v>0</v>
      </c>
      <c r="U4" s="67">
        <f t="shared" si="0"/>
        <v>0</v>
      </c>
      <c r="V4" s="67">
        <f t="shared" si="0"/>
        <v>0</v>
      </c>
      <c r="W4" s="67">
        <f t="shared" si="0"/>
        <v>0</v>
      </c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34"/>
      <c r="AO4" s="34"/>
      <c r="AP4" s="34"/>
      <c r="AQ4" s="34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34"/>
      <c r="GM4" s="34"/>
      <c r="GN4" s="34"/>
      <c r="GO4" s="34"/>
      <c r="GP4" s="34"/>
      <c r="GQ4" s="34"/>
      <c r="GR4" s="34"/>
      <c r="GS4" s="34"/>
      <c r="GT4" s="34"/>
      <c r="GU4" s="34"/>
      <c r="GV4" s="34"/>
      <c r="GW4" s="34"/>
      <c r="GX4" s="34"/>
      <c r="GY4" s="34"/>
      <c r="GZ4" s="34"/>
      <c r="HA4" s="34"/>
      <c r="HB4" s="34"/>
      <c r="HC4" s="34"/>
      <c r="HD4" s="34"/>
      <c r="HE4" s="34"/>
      <c r="HF4" s="34"/>
      <c r="HG4" s="34"/>
      <c r="HH4" s="34"/>
      <c r="HI4" s="34"/>
      <c r="HJ4" s="34"/>
      <c r="HK4" s="34"/>
      <c r="HL4" s="34"/>
      <c r="HM4" s="34"/>
      <c r="HN4" s="34"/>
      <c r="HO4" s="34"/>
      <c r="HP4" s="34"/>
      <c r="HQ4" s="34"/>
      <c r="HR4" s="34"/>
      <c r="HS4" s="34"/>
      <c r="HT4" s="34"/>
      <c r="HU4" s="34"/>
      <c r="HV4" s="34"/>
      <c r="HW4" s="34"/>
      <c r="HX4" s="34"/>
      <c r="HY4" s="34"/>
      <c r="HZ4" s="34"/>
      <c r="IA4" s="34"/>
      <c r="IB4" s="34"/>
      <c r="IC4" s="34"/>
      <c r="ID4" s="34"/>
      <c r="IE4" s="34"/>
      <c r="IF4" s="34"/>
      <c r="IG4" s="34"/>
      <c r="IH4" s="34"/>
      <c r="II4" s="34"/>
      <c r="IJ4" s="34"/>
      <c r="IK4" s="34"/>
      <c r="IL4" s="34"/>
      <c r="IM4" s="34"/>
      <c r="IN4" s="34"/>
      <c r="IO4" s="34"/>
      <c r="IP4" s="34"/>
      <c r="IQ4" s="34"/>
      <c r="IR4" s="34"/>
      <c r="IS4" s="34"/>
      <c r="IT4" s="34"/>
      <c r="IU4" s="34"/>
      <c r="IV4" s="34"/>
      <c r="IW4" s="34"/>
      <c r="IX4" s="34"/>
      <c r="IY4" s="34"/>
      <c r="IZ4" s="34"/>
      <c r="JA4" s="34"/>
      <c r="JB4" s="34"/>
      <c r="JC4" s="34"/>
    </row>
    <row r="5" spans="1:263" s="8" customFormat="1" ht="12.6" customHeight="1">
      <c r="A5" s="287">
        <v>2023</v>
      </c>
      <c r="B5" s="68">
        <v>3</v>
      </c>
      <c r="C5" s="69" t="s">
        <v>197</v>
      </c>
      <c r="D5" s="70">
        <f t="shared" ref="D5:D18" si="1">SUM(E5:W5)</f>
        <v>17382376</v>
      </c>
      <c r="E5" s="75">
        <f t="shared" ref="E5:G5" si="2">SUM(E6:E12)</f>
        <v>7180017</v>
      </c>
      <c r="F5" s="75">
        <f t="shared" si="2"/>
        <v>0</v>
      </c>
      <c r="G5" s="75">
        <f t="shared" si="2"/>
        <v>229612</v>
      </c>
      <c r="H5" s="75">
        <f>SUM(H6:H12)</f>
        <v>0</v>
      </c>
      <c r="I5" s="75">
        <f t="shared" ref="I5:K5" si="3">SUM(I6:I12)</f>
        <v>1465922</v>
      </c>
      <c r="J5" s="75">
        <f t="shared" si="3"/>
        <v>73860</v>
      </c>
      <c r="K5" s="75">
        <f t="shared" si="3"/>
        <v>130922</v>
      </c>
      <c r="L5" s="75">
        <f>SUM(L6:L12)</f>
        <v>0</v>
      </c>
      <c r="M5" s="75">
        <f t="shared" ref="M5:O5" si="4">SUM(M6:M12)</f>
        <v>0</v>
      </c>
      <c r="N5" s="75">
        <f t="shared" si="4"/>
        <v>0</v>
      </c>
      <c r="O5" s="75">
        <f t="shared" si="4"/>
        <v>0</v>
      </c>
      <c r="P5" s="75">
        <f>SUM(P6:P12)</f>
        <v>0</v>
      </c>
      <c r="Q5" s="75">
        <f>SUM(Q6:Q12)</f>
        <v>0</v>
      </c>
      <c r="R5" s="75">
        <f>SUM(R6:R12)</f>
        <v>5003386</v>
      </c>
      <c r="S5" s="75">
        <f>SUM(S6:S12)</f>
        <v>3298657</v>
      </c>
      <c r="T5" s="75">
        <f t="shared" ref="T5:W5" si="5">SUM(T6:T12)</f>
        <v>0</v>
      </c>
      <c r="U5" s="75">
        <f t="shared" si="5"/>
        <v>0</v>
      </c>
      <c r="V5" s="75">
        <f t="shared" si="5"/>
        <v>0</v>
      </c>
      <c r="W5" s="75">
        <f t="shared" si="5"/>
        <v>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" customHeight="1">
      <c r="A6" s="287">
        <v>2023</v>
      </c>
      <c r="B6" s="9">
        <v>31</v>
      </c>
      <c r="C6" s="10" t="s">
        <v>198</v>
      </c>
      <c r="D6" s="77">
        <f>SUM(E6:W6)</f>
        <v>7363992</v>
      </c>
      <c r="E6" s="82">
        <f>SUMIFS('Unos rashoda i izdataka'!$J$3:$J$501,'Unos rashoda i izdataka'!$C$3:$C$501,"=11",'Unos rashoda i izdataka'!$P$3:$P$501,"=31")+SUMIFS('Unos rashoda P4'!$H$3:$H$501,'Unos rashoda P4'!$A$3:$A$501,"=11",'Unos rashoda P4'!$S$3:$S$501,"=31")</f>
        <v>6147560</v>
      </c>
      <c r="F6" s="82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G6" s="82">
        <f>SUMIFS('Unos rashoda i izdataka'!$J$3:$J$501,'Unos rashoda i izdataka'!$C$3:$C$501,"=31",'Unos rashoda i izdataka'!$P$3:$P$501,"=31")+SUMIFS('Unos rashoda P4'!$H$3:$H$501,'Unos rashoda P4'!$A$3:$A$501,"=31",'Unos rashoda P4'!$S$3:$S$501,"=31")</f>
        <v>89025</v>
      </c>
      <c r="H6" s="82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I6" s="82">
        <f>SUMIFS('Unos rashoda i izdataka'!$J$3:$J$501,'Unos rashoda i izdataka'!$C$3:$C$501,"=43",'Unos rashoda i izdataka'!$P$3:$P$501,"=31")+SUMIFS('Unos rashoda P4'!$H$3:$H$501,'Unos rashoda P4'!$A$3:$A$501,"=43",'Unos rashoda P4'!$S$3:$S$501,"=31")</f>
        <v>1016590</v>
      </c>
      <c r="J6" s="82">
        <f>SUMIFS('Unos rashoda i izdataka'!$J$3:$J$501,'Unos rashoda i izdataka'!$C$3:$C$501,"=51",'Unos rashoda i izdataka'!$P$3:$P$501,"=31")+SUMIFS('Unos rashoda P4'!$H$3:$H$501,'Unos rashoda P4'!$A$3:$A$501,"=51",'Unos rashoda P4'!$S$3:$S$501,"=31")</f>
        <v>21596</v>
      </c>
      <c r="K6" s="82">
        <f>SUMIFS('Unos rashoda i izdataka'!$J$3:$J$501,'Unos rashoda i izdataka'!$C$3:$C$501,"=52",'Unos rashoda i izdataka'!$P$3:$P$501,"=31")+SUMIFS('Unos rashoda P4'!$H$3:$H$501,'Unos rashoda P4'!$A$3:$A$501,"=52",'Unos rashoda P4'!$S$3:$S$501,"=31")</f>
        <v>89221</v>
      </c>
      <c r="L6" s="82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M6" s="82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N6" s="82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O6" s="82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P6" s="82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Q6" s="82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R6" s="82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S6" s="82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T6" s="82">
        <f>SUMIFS('Unos rashoda i izdataka'!$J$3:$J$501,'Unos rashoda i izdataka'!$C$3:$C$501,"=61",'Unos rashoda i izdataka'!$P$3:$P$501,"=31")+SUMIFS('Unos rashoda P4'!$H$3:$H$501,'Unos rashoda P4'!$A$3:$A$501,"=61",'Unos rashoda P4'!$S$3:$S$501,"=31")</f>
        <v>0</v>
      </c>
      <c r="U6" s="82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V6" s="82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W6" s="82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  <c r="IM6" s="39"/>
      <c r="IN6" s="39"/>
      <c r="IO6" s="39"/>
      <c r="IP6" s="39"/>
      <c r="IQ6" s="39"/>
      <c r="IR6" s="39"/>
      <c r="IS6" s="39"/>
      <c r="IT6" s="39"/>
      <c r="IU6" s="39"/>
      <c r="IV6" s="39"/>
      <c r="IW6" s="39"/>
      <c r="IX6" s="39"/>
      <c r="IY6" s="39"/>
      <c r="IZ6" s="39"/>
      <c r="JA6" s="39"/>
      <c r="JB6" s="39"/>
      <c r="JC6" s="39"/>
    </row>
    <row r="7" spans="1:263" s="38" customFormat="1" ht="12.6" customHeight="1">
      <c r="A7" s="287">
        <v>2023</v>
      </c>
      <c r="B7" s="37">
        <v>32</v>
      </c>
      <c r="C7" s="13" t="s">
        <v>199</v>
      </c>
      <c r="D7" s="78">
        <f t="shared" si="1"/>
        <v>9979789</v>
      </c>
      <c r="E7" s="82">
        <f>SUMIFS('Unos rashoda i izdataka'!$J$3:$J$501,'Unos rashoda i izdataka'!$C$3:$C$501,"=11",'Unos rashoda i izdataka'!$P$3:$P$501,"=32")+SUMIFS('Unos rashoda P4'!$H$3:$H$501,'Unos rashoda P4'!$A$3:$A$501,"=11",'Unos rashoda P4'!$S$3:$S$501,"=32")</f>
        <v>1017782</v>
      </c>
      <c r="F7" s="82">
        <f>SUMIFS('Unos rashoda i izdataka'!$J$3:$J$501,'Unos rashoda i izdataka'!$C$3:$C$501,"=12",'Unos rashoda i izdataka'!$P$3:$P$501,"=32")+SUMIFS('Unos rashoda P4'!$H$3:$H$501,'Unos rashoda P4'!$A$3:$A$501,"=12",'Unos rashoda P4'!$S$3:$S$501,"=32")</f>
        <v>0</v>
      </c>
      <c r="G7" s="82">
        <f>SUMIFS('Unos rashoda i izdataka'!$J$3:$J$501,'Unos rashoda i izdataka'!$C$3:$C$501,"=31",'Unos rashoda i izdataka'!$P$3:$P$501,"=32")+SUMIFS('Unos rashoda P4'!$H$3:$H$501,'Unos rashoda P4'!$A$3:$A$501,"=31",'Unos rashoda P4'!$S$3:$S$501,"=32")</f>
        <v>138450</v>
      </c>
      <c r="H7" s="82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I7" s="82">
        <f>SUMIFS('Unos rashoda i izdataka'!$J$3:$J$501,'Unos rashoda i izdataka'!$C$3:$C$501,"=43",'Unos rashoda i izdataka'!$P$3:$P$501,"=32")+SUMIFS('Unos rashoda P4'!$H$3:$H$501,'Unos rashoda P4'!$A$3:$A$501,"=43",'Unos rashoda P4'!$S$3:$S$501,"=32")</f>
        <v>428635</v>
      </c>
      <c r="J7" s="82">
        <f>SUMIFS('Unos rashoda i izdataka'!$J$3:$J$501,'Unos rashoda i izdataka'!$C$3:$C$501,"=51",'Unos rashoda i izdataka'!$P$3:$P$501,"=32")+SUMIFS('Unos rashoda P4'!$H$3:$H$501,'Unos rashoda P4'!$A$3:$A$501,"=51",'Unos rashoda P4'!$S$3:$S$501,"=32")</f>
        <v>52127</v>
      </c>
      <c r="K7" s="82">
        <f>SUMIFS('Unos rashoda i izdataka'!$J$3:$J$501,'Unos rashoda i izdataka'!$C$3:$C$501,"=52",'Unos rashoda i izdataka'!$P$3:$P$501,"=32")+SUMIFS('Unos rashoda P4'!$H$3:$H$501,'Unos rashoda P4'!$A$3:$A$501,"=52",'Unos rashoda P4'!$S$3:$S$501,"=32")</f>
        <v>40752</v>
      </c>
      <c r="L7" s="82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M7" s="82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N7" s="82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O7" s="82">
        <f>SUMIFS('Unos rashoda i izdataka'!$J$3:$J$501,'Unos rashoda i izdataka'!$C$3:$C$501,"=563",'Unos rashoda i izdataka'!$P$3:$P$501,"=32")+SUMIFS('Unos rashoda P4'!$H$3:$H$501,'Unos rashoda P4'!$A$3:$A$501,"=563",'Unos rashoda P4'!$S$3:$S$501,"=32")</f>
        <v>0</v>
      </c>
      <c r="P7" s="82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Q7" s="82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R7" s="82">
        <f>SUMIFS('Unos rashoda i izdataka'!$J$3:$J$501,'Unos rashoda i izdataka'!$Q$3:$Q$501,"=576",'Unos rashoda i izdataka'!$P$3:$P$501,"=32")+SUMIFS('Unos rashoda P4'!$H$3:$H$501,'Unos rashoda P4'!$A$3:$A$501,"=576",'Unos rashoda P4'!$S$3:$S$501,"=32")</f>
        <v>5003386</v>
      </c>
      <c r="S7" s="82">
        <f>SUMIFS('Unos rashoda i izdataka'!$J$3:$J$501,'Unos rashoda i izdataka'!$C$3:$C$501,"=581",'Unos rashoda i izdataka'!$P$3:$P$501,"=32")+SUMIFS('Unos rashoda P4'!$H$3:$H$501,'Unos rashoda P4'!$A$3:$A$501,"=581",'Unos rashoda P4'!$S$3:$S$501,"=32")</f>
        <v>3298657</v>
      </c>
      <c r="T7" s="82">
        <f>SUMIFS('Unos rashoda i izdataka'!$J$3:$J$501,'Unos rashoda i izdataka'!$C$3:$C$501,"=61",'Unos rashoda i izdataka'!$P$3:$P$501,"=32")+SUMIFS('Unos rashoda P4'!$H$3:$H$501,'Unos rashoda P4'!$A$3:$A$501,"=61",'Unos rashoda P4'!$S$3:$S$501,"=32")</f>
        <v>0</v>
      </c>
      <c r="U7" s="82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V7" s="82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W7" s="82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  <c r="IM7" s="39"/>
      <c r="IN7" s="39"/>
      <c r="IO7" s="39"/>
      <c r="IP7" s="39"/>
      <c r="IQ7" s="39"/>
      <c r="IR7" s="39"/>
      <c r="IS7" s="39"/>
      <c r="IT7" s="39"/>
      <c r="IU7" s="39"/>
      <c r="IV7" s="39"/>
      <c r="IW7" s="39"/>
      <c r="IX7" s="39"/>
      <c r="IY7" s="39"/>
      <c r="IZ7" s="39"/>
      <c r="JA7" s="39"/>
      <c r="JB7" s="39"/>
      <c r="JC7" s="39"/>
    </row>
    <row r="8" spans="1:263" s="14" customFormat="1" ht="12.6" customHeight="1">
      <c r="A8" s="287">
        <v>2023</v>
      </c>
      <c r="B8" s="37">
        <v>34</v>
      </c>
      <c r="C8" s="13" t="s">
        <v>200</v>
      </c>
      <c r="D8" s="78">
        <f t="shared" si="1"/>
        <v>19328</v>
      </c>
      <c r="E8" s="82">
        <f>SUMIFS('Unos rashoda i izdataka'!$J$3:$J$501,'Unos rashoda i izdataka'!$C$3:$C$501,"=11",'Unos rashoda i izdataka'!$P$3:$P$501,"=34")+SUMIFS('Unos rashoda P4'!$H$3:$H$501,'Unos rashoda P4'!$A$3:$A$501,"=11",'Unos rashoda P4'!$S$3:$S$501,"=34")</f>
        <v>3649</v>
      </c>
      <c r="F8" s="82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G8" s="82">
        <f>SUMIFS('Unos rashoda i izdataka'!$J$3:$J$501,'Unos rashoda i izdataka'!$C$3:$C$501,"=31",'Unos rashoda i izdataka'!$P$3:$P$501,"=34")+SUMIFS('Unos rashoda P4'!$H$3:$H$501,'Unos rashoda P4'!$A$3:$A$501,"=31",'Unos rashoda P4'!$S$3:$S$501,"=34")</f>
        <v>2137</v>
      </c>
      <c r="H8" s="82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I8" s="82">
        <f>SUMIFS('Unos rashoda i izdataka'!$J$3:$J$501,'Unos rashoda i izdataka'!$C$3:$C$501,"=43",'Unos rashoda i izdataka'!$P$3:$P$501,"=34")+SUMIFS('Unos rashoda P4'!$H$3:$H$501,'Unos rashoda P4'!$A$3:$A$501,"=43",'Unos rashoda P4'!$S$3:$S$501,"=34")</f>
        <v>13405</v>
      </c>
      <c r="J8" s="82">
        <f>SUMIFS('Unos rashoda i izdataka'!$J$3:$J$501,'Unos rashoda i izdataka'!$C$3:$C$501,"=51",'Unos rashoda i izdataka'!$P$3:$P$501,"=34")+SUMIFS('Unos rashoda P4'!$H$3:$H$501,'Unos rashoda P4'!$A$3:$A$501,"=51",'Unos rashoda P4'!$S$3:$S$501,"=34")</f>
        <v>137</v>
      </c>
      <c r="K8" s="82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L8" s="82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M8" s="82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N8" s="82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O8" s="82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P8" s="82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Q8" s="82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R8" s="82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S8" s="82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T8" s="82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U8" s="82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V8" s="82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W8" s="82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  <c r="IM8" s="39"/>
      <c r="IN8" s="39"/>
      <c r="IO8" s="39"/>
      <c r="IP8" s="39"/>
      <c r="IQ8" s="39"/>
      <c r="IR8" s="39"/>
      <c r="IS8" s="39"/>
      <c r="IT8" s="39"/>
      <c r="IU8" s="39"/>
      <c r="IV8" s="39"/>
      <c r="IW8" s="39"/>
      <c r="IX8" s="39"/>
      <c r="IY8" s="39"/>
      <c r="IZ8" s="39"/>
      <c r="JA8" s="39"/>
      <c r="JB8" s="39"/>
      <c r="JC8" s="39"/>
    </row>
    <row r="9" spans="1:263" s="38" customFormat="1" ht="12.6" customHeight="1">
      <c r="A9" s="287">
        <v>2023</v>
      </c>
      <c r="B9" s="37">
        <v>35</v>
      </c>
      <c r="C9" s="13" t="s">
        <v>252</v>
      </c>
      <c r="D9" s="78">
        <f t="shared" si="1"/>
        <v>0</v>
      </c>
      <c r="E9" s="82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F9" s="82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G9" s="82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H9" s="82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I9" s="82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J9" s="82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K9" s="82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L9" s="82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M9" s="82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N9" s="82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O9" s="82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P9" s="82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Q9" s="82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R9" s="82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S9" s="82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T9" s="82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U9" s="82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V9" s="82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W9" s="82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  <c r="IM9" s="39"/>
      <c r="IN9" s="39"/>
      <c r="IO9" s="39"/>
      <c r="IP9" s="39"/>
      <c r="IQ9" s="39"/>
      <c r="IR9" s="39"/>
      <c r="IS9" s="39"/>
      <c r="IT9" s="39"/>
      <c r="IU9" s="39"/>
      <c r="IV9" s="39"/>
      <c r="IW9" s="39"/>
      <c r="IX9" s="39"/>
      <c r="IY9" s="39"/>
      <c r="IZ9" s="39"/>
      <c r="JA9" s="39"/>
      <c r="JB9" s="39"/>
      <c r="JC9" s="39"/>
    </row>
    <row r="10" spans="1:263" s="38" customFormat="1" ht="12.6" customHeight="1">
      <c r="A10" s="287">
        <v>2023</v>
      </c>
      <c r="B10" s="37">
        <v>36</v>
      </c>
      <c r="C10" s="15" t="s">
        <v>201</v>
      </c>
      <c r="D10" s="78">
        <f t="shared" si="1"/>
        <v>0</v>
      </c>
      <c r="E10" s="82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F10" s="82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G10" s="82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H10" s="82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I10" s="82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J10" s="82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K10" s="82">
        <f>SUMIFS('Unos rashoda i izdataka'!$J$3:$J$501,'Unos rashoda i izdataka'!$C$3:$C$501,"=52",'Unos rashoda i izdataka'!$P$3:$P$501,"=36")+SUMIFS('Unos rashoda P4'!$H$3:$H$501,'Unos rashoda P4'!$A$3:$A$501,"=52",'Unos rashoda P4'!$S$3:$S$501,"=36")</f>
        <v>0</v>
      </c>
      <c r="L10" s="82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M10" s="82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N10" s="82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O10" s="82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P10" s="82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Q10" s="82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R10" s="82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S10" s="82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T10" s="82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U10" s="82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V10" s="82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W10" s="82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  <c r="IW10" s="39"/>
      <c r="IX10" s="39"/>
      <c r="IY10" s="39"/>
      <c r="IZ10" s="39"/>
      <c r="JA10" s="39"/>
      <c r="JB10" s="39"/>
      <c r="JC10" s="39"/>
    </row>
    <row r="11" spans="1:263" s="16" customFormat="1" ht="12.6" customHeight="1">
      <c r="A11" s="287">
        <v>2023</v>
      </c>
      <c r="B11" s="37">
        <v>37</v>
      </c>
      <c r="C11" s="13" t="s">
        <v>253</v>
      </c>
      <c r="D11" s="78">
        <f t="shared" si="1"/>
        <v>19267</v>
      </c>
      <c r="E11" s="82">
        <f>SUMIFS('Unos rashoda i izdataka'!$J$3:$J$501,'Unos rashoda i izdataka'!$C$3:$C$501,"=11",'Unos rashoda i izdataka'!$P$3:$P$501,"=37")+SUMIFS('Unos rashoda P4'!$H$3:$H$501,'Unos rashoda P4'!$A$3:$A$501,"=11",'Unos rashoda P4'!$S$3:$S$501,"=37")</f>
        <v>11026</v>
      </c>
      <c r="F11" s="82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G11" s="82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H11" s="82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I11" s="82">
        <f>SUMIFS('Unos rashoda i izdataka'!$J$3:$J$501,'Unos rashoda i izdataka'!$C$3:$C$501,"=43",'Unos rashoda i izdataka'!$P$3:$P$501,"=37")+SUMIFS('Unos rashoda P4'!$H$3:$H$501,'Unos rashoda P4'!$A$3:$A$501,"=43",'Unos rashoda P4'!$S$3:$S$501,"=37")</f>
        <v>7292</v>
      </c>
      <c r="J11" s="82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K11" s="82">
        <f>SUMIFS('Unos rashoda i izdataka'!$J$3:$J$501,'Unos rashoda i izdataka'!$C$3:$C$501,"=52",'Unos rashoda i izdataka'!$P$3:$P$501,"=37")+SUMIFS('Unos rashoda P4'!$H$3:$H$501,'Unos rashoda P4'!$A$3:$A$501,"=52",'Unos rashoda P4'!$S$3:$S$501,"=37")</f>
        <v>949</v>
      </c>
      <c r="L11" s="82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M11" s="82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N11" s="82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O11" s="82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P11" s="82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Q11" s="82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R11" s="82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S11" s="82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T11" s="82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U11" s="82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V11" s="82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W11" s="82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  <c r="IV11" s="39"/>
      <c r="IW11" s="39"/>
      <c r="IX11" s="39"/>
      <c r="IY11" s="39"/>
      <c r="IZ11" s="39"/>
      <c r="JA11" s="39"/>
      <c r="JB11" s="39"/>
      <c r="JC11" s="39"/>
    </row>
    <row r="12" spans="1:263" s="16" customFormat="1" ht="12.6" customHeight="1">
      <c r="A12" s="287">
        <v>2023</v>
      </c>
      <c r="B12" s="37">
        <v>38</v>
      </c>
      <c r="C12" s="13" t="s">
        <v>202</v>
      </c>
      <c r="D12" s="78">
        <f t="shared" si="1"/>
        <v>0</v>
      </c>
      <c r="E12" s="82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F12" s="82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G12" s="82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H12" s="82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I12" s="82">
        <f>SUMIFS('Unos rashoda i izdataka'!$J$3:$J$501,'Unos rashoda i izdataka'!$C$3:$C$501,"=43",'Unos rashoda i izdataka'!$P$3:$P$501,"=38")+SUMIFS('Unos rashoda P4'!$H$3:$H$501,'Unos rashoda P4'!$A$3:$A$501,"=43",'Unos rashoda P4'!$S$3:$S$501,"=38")</f>
        <v>0</v>
      </c>
      <c r="J12" s="82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K12" s="82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L12" s="82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M12" s="82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N12" s="82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O12" s="82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P12" s="82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Q12" s="82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R12" s="82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S12" s="82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T12" s="82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U12" s="82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V12" s="82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W12" s="82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9"/>
      <c r="GM12" s="39"/>
      <c r="GN12" s="39"/>
      <c r="GO12" s="39"/>
      <c r="GP12" s="39"/>
      <c r="GQ12" s="39"/>
      <c r="GR12" s="39"/>
      <c r="GS12" s="39"/>
      <c r="GT12" s="39"/>
      <c r="GU12" s="39"/>
      <c r="GV12" s="39"/>
      <c r="GW12" s="39"/>
      <c r="GX12" s="39"/>
      <c r="GY12" s="39"/>
      <c r="GZ12" s="39"/>
      <c r="HA12" s="39"/>
      <c r="HB12" s="39"/>
      <c r="HC12" s="39"/>
      <c r="HD12" s="39"/>
      <c r="HE12" s="39"/>
      <c r="HF12" s="39"/>
      <c r="HG12" s="39"/>
      <c r="HH12" s="39"/>
      <c r="HI12" s="39"/>
      <c r="HJ12" s="39"/>
      <c r="HK12" s="39"/>
      <c r="HL12" s="39"/>
      <c r="HM12" s="39"/>
      <c r="HN12" s="39"/>
      <c r="HO12" s="39"/>
      <c r="HP12" s="39"/>
      <c r="HQ12" s="39"/>
      <c r="HR12" s="39"/>
      <c r="HS12" s="39"/>
      <c r="HT12" s="39"/>
      <c r="HU12" s="39"/>
      <c r="HV12" s="39"/>
      <c r="HW12" s="39"/>
      <c r="HX12" s="39"/>
      <c r="HY12" s="39"/>
      <c r="HZ12" s="39"/>
      <c r="IA12" s="39"/>
      <c r="IB12" s="39"/>
      <c r="IC12" s="39"/>
      <c r="ID12" s="39"/>
      <c r="IE12" s="39"/>
      <c r="IF12" s="39"/>
      <c r="IG12" s="39"/>
      <c r="IH12" s="39"/>
      <c r="II12" s="39"/>
      <c r="IJ12" s="39"/>
      <c r="IK12" s="39"/>
      <c r="IL12" s="39"/>
      <c r="IM12" s="39"/>
      <c r="IN12" s="39"/>
      <c r="IO12" s="39"/>
      <c r="IP12" s="39"/>
      <c r="IQ12" s="39"/>
      <c r="IR12" s="39"/>
      <c r="IS12" s="39"/>
      <c r="IT12" s="39"/>
      <c r="IU12" s="39"/>
      <c r="IV12" s="39"/>
      <c r="IW12" s="39"/>
      <c r="IX12" s="39"/>
      <c r="IY12" s="39"/>
      <c r="IZ12" s="39"/>
      <c r="JA12" s="39"/>
      <c r="JB12" s="39"/>
      <c r="JC12" s="39"/>
    </row>
    <row r="13" spans="1:263" s="17" customFormat="1" ht="12.6" customHeight="1">
      <c r="A13" s="287">
        <v>2023</v>
      </c>
      <c r="B13" s="73">
        <v>4</v>
      </c>
      <c r="C13" s="74" t="s">
        <v>203</v>
      </c>
      <c r="D13" s="72">
        <f t="shared" si="1"/>
        <v>151901</v>
      </c>
      <c r="E13" s="76">
        <f t="shared" ref="E13:G13" si="6">SUM(E14:E18)</f>
        <v>18515</v>
      </c>
      <c r="F13" s="76">
        <f t="shared" si="6"/>
        <v>0</v>
      </c>
      <c r="G13" s="76">
        <f t="shared" si="6"/>
        <v>62378</v>
      </c>
      <c r="H13" s="76">
        <f>SUM(H14:H18)</f>
        <v>0</v>
      </c>
      <c r="I13" s="76">
        <f t="shared" ref="I13:K13" si="7">SUM(I14:I18)</f>
        <v>71008</v>
      </c>
      <c r="J13" s="76">
        <f t="shared" si="7"/>
        <v>0</v>
      </c>
      <c r="K13" s="76">
        <f t="shared" si="7"/>
        <v>0</v>
      </c>
      <c r="L13" s="76">
        <f>SUM(L14:L18)</f>
        <v>0</v>
      </c>
      <c r="M13" s="76">
        <f t="shared" ref="M13:O13" si="8">SUM(M14:M18)</f>
        <v>0</v>
      </c>
      <c r="N13" s="76">
        <f t="shared" si="8"/>
        <v>0</v>
      </c>
      <c r="O13" s="76">
        <f t="shared" si="8"/>
        <v>0</v>
      </c>
      <c r="P13" s="76">
        <f>SUM(P14:P18)</f>
        <v>0</v>
      </c>
      <c r="Q13" s="76">
        <f>SUM(Q14:Q18)</f>
        <v>0</v>
      </c>
      <c r="R13" s="76">
        <f>SUM(R14:R18)</f>
        <v>0</v>
      </c>
      <c r="S13" s="76">
        <f>SUM(S14:S18)</f>
        <v>0</v>
      </c>
      <c r="T13" s="76">
        <f t="shared" ref="T13:W13" si="9">SUM(T14:T18)</f>
        <v>0</v>
      </c>
      <c r="U13" s="76">
        <f t="shared" si="9"/>
        <v>0</v>
      </c>
      <c r="V13" s="76">
        <f t="shared" si="9"/>
        <v>0</v>
      </c>
      <c r="W13" s="76">
        <f t="shared" si="9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" customHeight="1">
      <c r="A14" s="287">
        <v>2023</v>
      </c>
      <c r="B14" s="9">
        <v>41</v>
      </c>
      <c r="C14" s="10" t="s">
        <v>254</v>
      </c>
      <c r="D14" s="78">
        <f t="shared" si="1"/>
        <v>0</v>
      </c>
      <c r="E14" s="82">
        <f>SUMIFS('Unos rashoda i izdataka'!$J$3:$J$501,'Unos rashoda i izdataka'!$C$3:$C$501,"=11",'Unos rashoda i izdataka'!$P$3:$P$501,"=41")+SUMIFS('Unos rashoda P4'!$H$3:$H$501,'Unos rashoda P4'!$A$3:$A$501,"=11",'Unos rashoda P4'!$S$3:$S$501,"=41")</f>
        <v>0</v>
      </c>
      <c r="F14" s="82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G14" s="82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H14" s="82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I14" s="82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J14" s="82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K14" s="82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L14" s="82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M14" s="82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N14" s="82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O14" s="82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P14" s="82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Q14" s="82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R14" s="82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S14" s="82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T14" s="82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U14" s="82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V14" s="82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W14" s="82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9"/>
      <c r="GM14" s="39"/>
      <c r="GN14" s="39"/>
      <c r="GO14" s="39"/>
      <c r="GP14" s="39"/>
      <c r="GQ14" s="39"/>
      <c r="GR14" s="39"/>
      <c r="GS14" s="39"/>
      <c r="GT14" s="39"/>
      <c r="GU14" s="39"/>
      <c r="GV14" s="39"/>
      <c r="GW14" s="39"/>
      <c r="GX14" s="39"/>
      <c r="GY14" s="39"/>
      <c r="GZ14" s="39"/>
      <c r="HA14" s="39"/>
      <c r="HB14" s="39"/>
      <c r="HC14" s="39"/>
      <c r="HD14" s="39"/>
      <c r="HE14" s="39"/>
      <c r="HF14" s="39"/>
      <c r="HG14" s="39"/>
      <c r="HH14" s="39"/>
      <c r="HI14" s="39"/>
      <c r="HJ14" s="39"/>
      <c r="HK14" s="39"/>
      <c r="HL14" s="39"/>
      <c r="HM14" s="39"/>
      <c r="HN14" s="39"/>
      <c r="HO14" s="39"/>
      <c r="HP14" s="39"/>
      <c r="HQ14" s="39"/>
      <c r="HR14" s="39"/>
      <c r="HS14" s="39"/>
      <c r="HT14" s="39"/>
      <c r="HU14" s="39"/>
      <c r="HV14" s="39"/>
      <c r="HW14" s="39"/>
      <c r="HX14" s="39"/>
      <c r="HY14" s="39"/>
      <c r="HZ14" s="39"/>
      <c r="IA14" s="39"/>
      <c r="IB14" s="39"/>
      <c r="IC14" s="39"/>
      <c r="ID14" s="39"/>
      <c r="IE14" s="39"/>
      <c r="IF14" s="39"/>
      <c r="IG14" s="39"/>
      <c r="IH14" s="39"/>
      <c r="II14" s="39"/>
      <c r="IJ14" s="39"/>
      <c r="IK14" s="39"/>
      <c r="IL14" s="39"/>
      <c r="IM14" s="39"/>
      <c r="IN14" s="39"/>
      <c r="IO14" s="39"/>
      <c r="IP14" s="39"/>
      <c r="IQ14" s="39"/>
      <c r="IR14" s="39"/>
      <c r="IS14" s="39"/>
      <c r="IT14" s="39"/>
      <c r="IU14" s="39"/>
      <c r="IV14" s="39"/>
      <c r="IW14" s="39"/>
      <c r="IX14" s="39"/>
      <c r="IY14" s="39"/>
      <c r="IZ14" s="39"/>
      <c r="JA14" s="39"/>
      <c r="JB14" s="39"/>
      <c r="JC14" s="39"/>
    </row>
    <row r="15" spans="1:263" s="16" customFormat="1" ht="12.6" customHeight="1">
      <c r="A15" s="287">
        <v>2023</v>
      </c>
      <c r="B15" s="37">
        <v>42</v>
      </c>
      <c r="C15" s="13" t="s">
        <v>231</v>
      </c>
      <c r="D15" s="78">
        <f t="shared" si="1"/>
        <v>151901</v>
      </c>
      <c r="E15" s="82">
        <f>SUMIFS('Unos rashoda i izdataka'!$J$3:$J$501,'Unos rashoda i izdataka'!$C$3:$C$501,"=11",'Unos rashoda i izdataka'!$P$3:$P$501,"=42")+SUMIFS('Unos rashoda P4'!$H$3:$H$501,'Unos rashoda P4'!$A$3:$A$501,"=11",'Unos rashoda P4'!$S$3:$S$501,"=42")</f>
        <v>18515</v>
      </c>
      <c r="F15" s="82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G15" s="82">
        <f>SUMIFS('Unos rashoda i izdataka'!$J$3:$J$501,'Unos rashoda i izdataka'!$C$3:$C$501,"=31",'Unos rashoda i izdataka'!$P$3:$P$501,"=42")+SUMIFS('Unos rashoda P4'!$H$3:$H$501,'Unos rashoda P4'!$A$3:$A$501,"=31",'Unos rashoda P4'!$S$3:$S$501,"=42")</f>
        <v>62378</v>
      </c>
      <c r="H15" s="82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I15" s="82">
        <f>SUMIFS('Unos rashoda i izdataka'!$J$3:$J$501,'Unos rashoda i izdataka'!$C$3:$C$501,"=43",'Unos rashoda i izdataka'!$P$3:$P$501,"=42")+SUMIFS('Unos rashoda P4'!$H$3:$H$501,'Unos rashoda P4'!$A$3:$A$501,"=43",'Unos rashoda P4'!$S$3:$S$501,"=42")</f>
        <v>71008</v>
      </c>
      <c r="J15" s="82">
        <f>SUMIFS('Unos rashoda i izdataka'!$J$3:$J$501,'Unos rashoda i izdataka'!$C$3:$C$501,"=51",'Unos rashoda i izdataka'!$P$3:$P$501,"=42")+SUMIFS('Unos rashoda P4'!$H$3:$H$501,'Unos rashoda P4'!$A$3:$A$501,"=51",'Unos rashoda P4'!$S$3:$S$501,"=42")</f>
        <v>0</v>
      </c>
      <c r="K15" s="82">
        <f>SUMIFS('Unos rashoda i izdataka'!$J$3:$J$501,'Unos rashoda i izdataka'!$C$3:$C$501,"=52",'Unos rashoda i izdataka'!$P$3:$P$501,"=42")+SUMIFS('Unos rashoda P4'!$H$3:$H$501,'Unos rashoda P4'!$A$3:$A$501,"=52",'Unos rashoda P4'!$S$3:$S$501,"=42")</f>
        <v>0</v>
      </c>
      <c r="L15" s="82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M15" s="82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N15" s="82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O15" s="82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P15" s="82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Q15" s="82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R15" s="82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S15" s="82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T15" s="82">
        <f>SUMIFS('Unos rashoda i izdataka'!$J$3:$J$501,'Unos rashoda i izdataka'!$C$3:$C$501,"=61",'Unos rashoda i izdataka'!$P$3:$P$501,"=42")+SUMIFS('Unos rashoda P4'!$H$3:$H$501,'Unos rashoda P4'!$A$3:$A$501,"=61",'Unos rashoda P4'!$S$3:$S$501,"=42")</f>
        <v>0</v>
      </c>
      <c r="U15" s="82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V15" s="82">
        <f>SUMIFS('Unos rashoda i izdataka'!$J$3:$J$501,'Unos rashoda i izdataka'!$C$3:$C$501,"=71",'Unos rashoda i izdataka'!$P$3:$P$501,"=42")+SUMIFS('Unos rashoda P4'!$H$3:$H$501,'Unos rashoda P4'!$A$3:$A$501,"=71",'Unos rashoda P4'!$S$3:$S$501,"=42")</f>
        <v>0</v>
      </c>
      <c r="W15" s="82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8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9"/>
      <c r="GM15" s="39"/>
      <c r="GN15" s="39"/>
      <c r="GO15" s="39"/>
      <c r="GP15" s="39"/>
      <c r="GQ15" s="39"/>
      <c r="GR15" s="39"/>
      <c r="GS15" s="39"/>
      <c r="GT15" s="39"/>
      <c r="GU15" s="39"/>
      <c r="GV15" s="39"/>
      <c r="GW15" s="39"/>
      <c r="GX15" s="39"/>
      <c r="GY15" s="39"/>
      <c r="GZ15" s="39"/>
      <c r="HA15" s="39"/>
      <c r="HB15" s="39"/>
      <c r="HC15" s="39"/>
      <c r="HD15" s="39"/>
      <c r="HE15" s="39"/>
      <c r="HF15" s="39"/>
      <c r="HG15" s="39"/>
      <c r="HH15" s="39"/>
      <c r="HI15" s="39"/>
      <c r="HJ15" s="39"/>
      <c r="HK15" s="39"/>
      <c r="HL15" s="39"/>
      <c r="HM15" s="39"/>
      <c r="HN15" s="39"/>
      <c r="HO15" s="39"/>
      <c r="HP15" s="39"/>
      <c r="HQ15" s="39"/>
      <c r="HR15" s="39"/>
      <c r="HS15" s="39"/>
      <c r="HT15" s="39"/>
      <c r="HU15" s="39"/>
      <c r="HV15" s="39"/>
      <c r="HW15" s="39"/>
      <c r="HX15" s="39"/>
      <c r="HY15" s="39"/>
      <c r="HZ15" s="39"/>
      <c r="IA15" s="39"/>
      <c r="IB15" s="39"/>
      <c r="IC15" s="39"/>
      <c r="ID15" s="39"/>
      <c r="IE15" s="39"/>
      <c r="IF15" s="39"/>
      <c r="IG15" s="39"/>
      <c r="IH15" s="39"/>
      <c r="II15" s="39"/>
      <c r="IJ15" s="39"/>
      <c r="IK15" s="39"/>
      <c r="IL15" s="39"/>
      <c r="IM15" s="39"/>
      <c r="IN15" s="39"/>
      <c r="IO15" s="39"/>
      <c r="IP15" s="39"/>
      <c r="IQ15" s="39"/>
      <c r="IR15" s="39"/>
      <c r="IS15" s="39"/>
      <c r="IT15" s="39"/>
      <c r="IU15" s="39"/>
      <c r="IV15" s="39"/>
      <c r="IW15" s="39"/>
      <c r="IX15" s="39"/>
      <c r="IY15" s="39"/>
      <c r="IZ15" s="39"/>
      <c r="JA15" s="39"/>
      <c r="JB15" s="39"/>
      <c r="JC15" s="39"/>
    </row>
    <row r="16" spans="1:263" s="11" customFormat="1" ht="12.6" customHeight="1">
      <c r="A16" s="287">
        <v>2023</v>
      </c>
      <c r="B16" s="9">
        <v>43</v>
      </c>
      <c r="C16" s="10" t="s">
        <v>255</v>
      </c>
      <c r="D16" s="78">
        <f t="shared" si="1"/>
        <v>0</v>
      </c>
      <c r="E16" s="82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F16" s="82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G16" s="82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H16" s="82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I16" s="82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J16" s="82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K16" s="82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L16" s="82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M16" s="82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N16" s="82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O16" s="82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P16" s="82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Q16" s="82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R16" s="82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S16" s="82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T16" s="82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U16" s="82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V16" s="82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W16" s="82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  <c r="JC16" s="36"/>
    </row>
    <row r="17" spans="1:263" s="11" customFormat="1" ht="12.6" customHeight="1">
      <c r="A17" s="287">
        <v>2023</v>
      </c>
      <c r="B17" s="9">
        <v>44</v>
      </c>
      <c r="C17" s="10" t="s">
        <v>256</v>
      </c>
      <c r="D17" s="78">
        <f t="shared" si="1"/>
        <v>0</v>
      </c>
      <c r="E17" s="82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F17" s="82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G17" s="82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H17" s="82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I17" s="82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J17" s="82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K17" s="82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L17" s="82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M17" s="82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N17" s="82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O17" s="82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P17" s="82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Q17" s="82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R17" s="82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S17" s="82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T17" s="82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U17" s="82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V17" s="82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W17" s="82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  <c r="IW17" s="36"/>
      <c r="IX17" s="36"/>
      <c r="IY17" s="36"/>
      <c r="IZ17" s="36"/>
      <c r="JA17" s="36"/>
      <c r="JB17" s="36"/>
      <c r="JC17" s="36"/>
    </row>
    <row r="18" spans="1:263" s="16" customFormat="1" ht="12.6" customHeight="1">
      <c r="A18" s="287">
        <v>2023</v>
      </c>
      <c r="B18" s="37">
        <v>45</v>
      </c>
      <c r="C18" s="13" t="s">
        <v>204</v>
      </c>
      <c r="D18" s="78">
        <f t="shared" si="1"/>
        <v>0</v>
      </c>
      <c r="E18" s="82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F18" s="82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G18" s="82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H18" s="82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I18" s="82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J18" s="82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K18" s="82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L18" s="82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M18" s="82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N18" s="82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O18" s="82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P18" s="82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Q18" s="82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R18" s="82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S18" s="82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T18" s="82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U18" s="82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V18" s="82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W18" s="82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  <c r="FG18" s="38"/>
      <c r="FH18" s="38"/>
      <c r="FI18" s="38"/>
      <c r="FJ18" s="38"/>
      <c r="FK18" s="38"/>
      <c r="FL18" s="38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/>
      <c r="FX18" s="38"/>
      <c r="FY18" s="38"/>
      <c r="FZ18" s="38"/>
      <c r="GA18" s="38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9"/>
      <c r="GM18" s="39"/>
      <c r="GN18" s="39"/>
      <c r="GO18" s="39"/>
      <c r="GP18" s="39"/>
      <c r="GQ18" s="39"/>
      <c r="GR18" s="39"/>
      <c r="GS18" s="39"/>
      <c r="GT18" s="39"/>
      <c r="GU18" s="39"/>
      <c r="GV18" s="39"/>
      <c r="GW18" s="39"/>
      <c r="GX18" s="39"/>
      <c r="GY18" s="39"/>
      <c r="GZ18" s="39"/>
      <c r="HA18" s="39"/>
      <c r="HB18" s="39"/>
      <c r="HC18" s="39"/>
      <c r="HD18" s="39"/>
      <c r="HE18" s="39"/>
      <c r="HF18" s="39"/>
      <c r="HG18" s="39"/>
      <c r="HH18" s="39"/>
      <c r="HI18" s="39"/>
      <c r="HJ18" s="39"/>
      <c r="HK18" s="39"/>
      <c r="HL18" s="39"/>
      <c r="HM18" s="39"/>
      <c r="HN18" s="39"/>
      <c r="HO18" s="39"/>
      <c r="HP18" s="39"/>
      <c r="HQ18" s="39"/>
      <c r="HR18" s="39"/>
      <c r="HS18" s="39"/>
      <c r="HT18" s="39"/>
      <c r="HU18" s="39"/>
      <c r="HV18" s="39"/>
      <c r="HW18" s="39"/>
      <c r="HX18" s="39"/>
      <c r="HY18" s="39"/>
      <c r="HZ18" s="39"/>
      <c r="IA18" s="39"/>
      <c r="IB18" s="39"/>
      <c r="IC18" s="39"/>
      <c r="ID18" s="39"/>
      <c r="IE18" s="39"/>
      <c r="IF18" s="39"/>
      <c r="IG18" s="39"/>
      <c r="IH18" s="39"/>
      <c r="II18" s="39"/>
      <c r="IJ18" s="39"/>
      <c r="IK18" s="39"/>
      <c r="IL18" s="39"/>
      <c r="IM18" s="39"/>
      <c r="IN18" s="39"/>
      <c r="IO18" s="39"/>
      <c r="IP18" s="39"/>
      <c r="IQ18" s="39"/>
      <c r="IR18" s="39"/>
      <c r="IS18" s="39"/>
      <c r="IT18" s="39"/>
      <c r="IU18" s="39"/>
      <c r="IV18" s="39"/>
      <c r="IW18" s="39"/>
      <c r="IX18" s="39"/>
      <c r="IY18" s="39"/>
      <c r="IZ18" s="39"/>
      <c r="JA18" s="39"/>
      <c r="JB18" s="39"/>
      <c r="JC18" s="39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45" customHeight="1">
      <c r="A20" s="286" t="s">
        <v>1710</v>
      </c>
      <c r="B20" s="2" t="s">
        <v>195</v>
      </c>
      <c r="C20" s="2" t="s">
        <v>196</v>
      </c>
      <c r="D20" s="2" t="s">
        <v>3022</v>
      </c>
      <c r="E20" s="2" t="s">
        <v>37</v>
      </c>
      <c r="F20" s="2" t="s">
        <v>251</v>
      </c>
      <c r="G20" s="2" t="s">
        <v>16</v>
      </c>
      <c r="H20" s="2" t="s">
        <v>5120</v>
      </c>
      <c r="I20" s="2" t="s">
        <v>17</v>
      </c>
      <c r="J20" s="2" t="s">
        <v>240</v>
      </c>
      <c r="K20" s="2" t="s">
        <v>241</v>
      </c>
      <c r="L20" s="2" t="s">
        <v>1231</v>
      </c>
      <c r="M20" s="2" t="s">
        <v>242</v>
      </c>
      <c r="N20" s="2" t="s">
        <v>243</v>
      </c>
      <c r="O20" s="2" t="s">
        <v>244</v>
      </c>
      <c r="P20" s="2" t="s">
        <v>1232</v>
      </c>
      <c r="Q20" s="2" t="s">
        <v>5126</v>
      </c>
      <c r="R20" s="2" t="s">
        <v>5127</v>
      </c>
      <c r="S20" s="2" t="s">
        <v>3021</v>
      </c>
      <c r="T20" s="2" t="s">
        <v>245</v>
      </c>
      <c r="U20" s="2" t="s">
        <v>246</v>
      </c>
      <c r="V20" s="2" t="s">
        <v>1207</v>
      </c>
      <c r="W20" s="2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287">
        <v>2024</v>
      </c>
      <c r="B21" s="254">
        <v>2024</v>
      </c>
      <c r="C21" s="254" t="s">
        <v>259</v>
      </c>
      <c r="D21" s="66">
        <f t="shared" ref="D21:D35" si="10">SUM(E21:W21)</f>
        <v>9209347</v>
      </c>
      <c r="E21" s="67">
        <f>+E22+E30</f>
        <v>7228357</v>
      </c>
      <c r="F21" s="67">
        <f t="shared" ref="F21:W21" si="11">+F22+F30</f>
        <v>0</v>
      </c>
      <c r="G21" s="67">
        <f t="shared" si="11"/>
        <v>301042</v>
      </c>
      <c r="H21" s="67">
        <f t="shared" si="11"/>
        <v>0</v>
      </c>
      <c r="I21" s="67">
        <f t="shared" si="11"/>
        <v>1573628</v>
      </c>
      <c r="J21" s="67">
        <f t="shared" si="11"/>
        <v>24930</v>
      </c>
      <c r="K21" s="67">
        <f t="shared" si="11"/>
        <v>81390</v>
      </c>
      <c r="L21" s="67">
        <f t="shared" si="11"/>
        <v>0</v>
      </c>
      <c r="M21" s="67">
        <f t="shared" si="11"/>
        <v>0</v>
      </c>
      <c r="N21" s="67">
        <f t="shared" si="11"/>
        <v>0</v>
      </c>
      <c r="O21" s="67">
        <f t="shared" si="11"/>
        <v>0</v>
      </c>
      <c r="P21" s="67">
        <f t="shared" si="11"/>
        <v>0</v>
      </c>
      <c r="Q21" s="67">
        <f t="shared" si="11"/>
        <v>0</v>
      </c>
      <c r="R21" s="67">
        <f t="shared" si="11"/>
        <v>0</v>
      </c>
      <c r="S21" s="67">
        <f t="shared" si="11"/>
        <v>0</v>
      </c>
      <c r="T21" s="67">
        <f t="shared" si="11"/>
        <v>0</v>
      </c>
      <c r="U21" s="67">
        <f t="shared" si="11"/>
        <v>0</v>
      </c>
      <c r="V21" s="67">
        <f t="shared" si="11"/>
        <v>0</v>
      </c>
      <c r="W21" s="67">
        <f t="shared" si="11"/>
        <v>0</v>
      </c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34"/>
      <c r="AO21" s="34"/>
      <c r="AP21" s="34"/>
      <c r="AQ21" s="34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34"/>
      <c r="GM21" s="34"/>
      <c r="GN21" s="34"/>
      <c r="GO21" s="34"/>
      <c r="GP21" s="34"/>
      <c r="GQ21" s="34"/>
      <c r="GR21" s="34"/>
      <c r="GS21" s="34"/>
      <c r="GT21" s="34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4"/>
      <c r="HH21" s="34"/>
      <c r="HI21" s="34"/>
      <c r="HJ21" s="34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4"/>
      <c r="HX21" s="34"/>
      <c r="HY21" s="34"/>
      <c r="HZ21" s="34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4"/>
      <c r="IN21" s="34"/>
      <c r="IO21" s="34"/>
      <c r="IP21" s="34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4"/>
    </row>
    <row r="22" spans="1:263" s="8" customFormat="1" ht="12.6" customHeight="1">
      <c r="A22" s="287">
        <v>2024</v>
      </c>
      <c r="B22" s="68">
        <v>3</v>
      </c>
      <c r="C22" s="69" t="s">
        <v>197</v>
      </c>
      <c r="D22" s="70">
        <f t="shared" si="10"/>
        <v>9064172</v>
      </c>
      <c r="E22" s="75">
        <f t="shared" ref="E22:W22" si="12">SUM(E23:E29)</f>
        <v>7209752</v>
      </c>
      <c r="F22" s="75">
        <f t="shared" si="12"/>
        <v>0</v>
      </c>
      <c r="G22" s="75">
        <f t="shared" si="12"/>
        <v>236731</v>
      </c>
      <c r="H22" s="75">
        <f>SUM(H23:H29)</f>
        <v>0</v>
      </c>
      <c r="I22" s="75">
        <f t="shared" si="12"/>
        <v>1511369</v>
      </c>
      <c r="J22" s="75">
        <f t="shared" si="12"/>
        <v>24930</v>
      </c>
      <c r="K22" s="75">
        <f t="shared" si="12"/>
        <v>81390</v>
      </c>
      <c r="L22" s="75">
        <f>SUM(L23:L29)</f>
        <v>0</v>
      </c>
      <c r="M22" s="75">
        <f t="shared" si="12"/>
        <v>0</v>
      </c>
      <c r="N22" s="75">
        <f t="shared" si="12"/>
        <v>0</v>
      </c>
      <c r="O22" s="75">
        <f t="shared" si="12"/>
        <v>0</v>
      </c>
      <c r="P22" s="75">
        <f>SUM(P23:P29)</f>
        <v>0</v>
      </c>
      <c r="Q22" s="75">
        <f>SUM(Q23:Q29)</f>
        <v>0</v>
      </c>
      <c r="R22" s="75">
        <f>SUM(R23:R29)</f>
        <v>0</v>
      </c>
      <c r="S22" s="75">
        <f>SUM(S23:S29)</f>
        <v>0</v>
      </c>
      <c r="T22" s="75">
        <f t="shared" si="12"/>
        <v>0</v>
      </c>
      <c r="U22" s="75">
        <f t="shared" si="12"/>
        <v>0</v>
      </c>
      <c r="V22" s="75">
        <f t="shared" si="12"/>
        <v>0</v>
      </c>
      <c r="W22" s="75">
        <f t="shared" si="12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" customHeight="1">
      <c r="A23" s="287">
        <v>2024</v>
      </c>
      <c r="B23" s="9">
        <v>31</v>
      </c>
      <c r="C23" s="10" t="s">
        <v>198</v>
      </c>
      <c r="D23" s="77">
        <f t="shared" si="10"/>
        <v>7378385</v>
      </c>
      <c r="E23" s="82">
        <f>SUMIFS('Unos rashoda i izdataka'!$K$3:$K$501,'Unos rashoda i izdataka'!$C$3:$C$501,"=11",'Unos rashoda i izdataka'!$P$3:$P$501,"=31")+SUMIFS('Unos rashoda P4'!$I$3:$I$501,'Unos rashoda P4'!$A$3:$A$501,"=11",'Unos rashoda P4'!$S$3:$S$501,"=31")</f>
        <v>6176699</v>
      </c>
      <c r="F23" s="82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G23" s="82">
        <f>SUMIFS('Unos rashoda i izdataka'!$K$3:$K$501,'Unos rashoda i izdataka'!$C$3:$C$501,"=31",'Unos rashoda i izdataka'!$P$3:$P$501,"=31")+SUMIFS('Unos rashoda P4'!$I$3:$I$501,'Unos rashoda P4'!$A$3:$A$501,"=31",'Unos rashoda P4'!$S$3:$S$501,"=31")</f>
        <v>91783</v>
      </c>
      <c r="H23" s="82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I23" s="82">
        <f>SUMIFS('Unos rashoda i izdataka'!$K$3:$K$501,'Unos rashoda i izdataka'!$C$3:$C$501,"=43",'Unos rashoda i izdataka'!$P$3:$P$501,"=31")+SUMIFS('Unos rashoda P4'!$I$3:$I$501,'Unos rashoda P4'!$A$3:$A$501,"=43",'Unos rashoda P4'!$S$3:$S$501,"=31")</f>
        <v>1048104</v>
      </c>
      <c r="J23" s="82">
        <f>SUMIFS('Unos rashoda i izdataka'!$K$3:$K$501,'Unos rashoda i izdataka'!$C$3:$C$501,"=51",'Unos rashoda i izdataka'!$P$3:$P$501,"=31")+SUMIFS('Unos rashoda P4'!$I$3:$I$501,'Unos rashoda P4'!$A$3:$A$501,"=51",'Unos rashoda P4'!$S$3:$S$501,"=31")</f>
        <v>7125</v>
      </c>
      <c r="K23" s="82">
        <f>SUMIFS('Unos rashoda i izdataka'!$K$3:$K$501,'Unos rashoda i izdataka'!$C$3:$C$501,"=52",'Unos rashoda i izdataka'!$P$3:$P$501,"=31")+SUMIFS('Unos rashoda P4'!$I$3:$I$501,'Unos rashoda P4'!$A$3:$A$501,"=52",'Unos rashoda P4'!$S$3:$S$501,"=31")</f>
        <v>54674</v>
      </c>
      <c r="L23" s="82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M23" s="82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N23" s="82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O23" s="82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P23" s="82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Q23" s="82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R23" s="82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S23" s="82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T23" s="82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U23" s="82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V23" s="82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W23" s="82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8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8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9"/>
      <c r="GM23" s="39"/>
      <c r="GN23" s="39"/>
      <c r="GO23" s="39"/>
      <c r="GP23" s="39"/>
      <c r="GQ23" s="39"/>
      <c r="GR23" s="39"/>
      <c r="GS23" s="39"/>
      <c r="GT23" s="39"/>
      <c r="GU23" s="39"/>
      <c r="GV23" s="39"/>
      <c r="GW23" s="39"/>
      <c r="GX23" s="39"/>
      <c r="GY23" s="39"/>
      <c r="GZ23" s="39"/>
      <c r="HA23" s="39"/>
      <c r="HB23" s="39"/>
      <c r="HC23" s="39"/>
      <c r="HD23" s="39"/>
      <c r="HE23" s="39"/>
      <c r="HF23" s="39"/>
      <c r="HG23" s="39"/>
      <c r="HH23" s="39"/>
      <c r="HI23" s="39"/>
      <c r="HJ23" s="39"/>
      <c r="HK23" s="39"/>
      <c r="HL23" s="39"/>
      <c r="HM23" s="39"/>
      <c r="HN23" s="39"/>
      <c r="HO23" s="39"/>
      <c r="HP23" s="39"/>
      <c r="HQ23" s="39"/>
      <c r="HR23" s="39"/>
      <c r="HS23" s="39"/>
      <c r="HT23" s="39"/>
      <c r="HU23" s="39"/>
      <c r="HV23" s="39"/>
      <c r="HW23" s="39"/>
      <c r="HX23" s="39"/>
      <c r="HY23" s="39"/>
      <c r="HZ23" s="39"/>
      <c r="IA23" s="39"/>
      <c r="IB23" s="39"/>
      <c r="IC23" s="39"/>
      <c r="ID23" s="39"/>
      <c r="IE23" s="39"/>
      <c r="IF23" s="39"/>
      <c r="IG23" s="39"/>
      <c r="IH23" s="39"/>
      <c r="II23" s="39"/>
      <c r="IJ23" s="39"/>
      <c r="IK23" s="39"/>
      <c r="IL23" s="39"/>
      <c r="IM23" s="39"/>
      <c r="IN23" s="39"/>
      <c r="IO23" s="39"/>
      <c r="IP23" s="39"/>
      <c r="IQ23" s="39"/>
      <c r="IR23" s="39"/>
      <c r="IS23" s="39"/>
      <c r="IT23" s="39"/>
      <c r="IU23" s="39"/>
      <c r="IV23" s="39"/>
      <c r="IW23" s="39"/>
      <c r="IX23" s="39"/>
      <c r="IY23" s="39"/>
      <c r="IZ23" s="39"/>
      <c r="JA23" s="39"/>
      <c r="JB23" s="39"/>
      <c r="JC23" s="39"/>
    </row>
    <row r="24" spans="1:263" s="38" customFormat="1" ht="12.6" customHeight="1">
      <c r="A24" s="287">
        <v>2024</v>
      </c>
      <c r="B24" s="37">
        <v>32</v>
      </c>
      <c r="C24" s="13" t="s">
        <v>199</v>
      </c>
      <c r="D24" s="78">
        <f t="shared" si="10"/>
        <v>1646546</v>
      </c>
      <c r="E24" s="82">
        <f>SUMIFS('Unos rashoda i izdataka'!$K$3:$K$501,'Unos rashoda i izdataka'!$C$3:$C$501,"=11",'Unos rashoda i izdataka'!$P$3:$P$501,"=32")+SUMIFS('Unos rashoda P4'!$I$3:$I$501,'Unos rashoda P4'!$A$3:$A$501,"=11",'Unos rashoda P4'!$S$3:$S$501,"=32")</f>
        <v>1018378</v>
      </c>
      <c r="F24" s="82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G24" s="82">
        <f>SUMIFS('Unos rashoda i izdataka'!$K$3:$K$501,'Unos rashoda i izdataka'!$C$3:$C$501,"=31",'Unos rashoda i izdataka'!$P$3:$P$501,"=32")+SUMIFS('Unos rashoda P4'!$I$3:$I$501,'Unos rashoda P4'!$A$3:$A$501,"=31",'Unos rashoda P4'!$S$3:$S$501,"=32")</f>
        <v>142746</v>
      </c>
      <c r="H24" s="82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I24" s="82">
        <f>SUMIFS('Unos rashoda i izdataka'!$K$3:$K$501,'Unos rashoda i izdataka'!$C$3:$C$501,"=43",'Unos rashoda i izdataka'!$P$3:$P$501,"=32")+SUMIFS('Unos rashoda P4'!$I$3:$I$501,'Unos rashoda P4'!$A$3:$A$501,"=43",'Unos rashoda P4'!$S$3:$S$501,"=32")</f>
        <v>441926</v>
      </c>
      <c r="J24" s="82">
        <f>SUMIFS('Unos rashoda i izdataka'!$K$3:$K$501,'Unos rashoda i izdataka'!$C$3:$C$501,"=51",'Unos rashoda i izdataka'!$P$3:$P$501,"=32")+SUMIFS('Unos rashoda P4'!$I$3:$I$501,'Unos rashoda P4'!$A$3:$A$501,"=51",'Unos rashoda P4'!$S$3:$S$501,"=32")</f>
        <v>17729</v>
      </c>
      <c r="K24" s="82">
        <f>SUMIFS('Unos rashoda i izdataka'!$K$3:$K$501,'Unos rashoda i izdataka'!$C$3:$C$501,"=52",'Unos rashoda i izdataka'!$P$3:$P$501,"=32")+SUMIFS('Unos rashoda P4'!$I$3:$I$501,'Unos rashoda P4'!$A$3:$A$501,"=52",'Unos rashoda P4'!$S$3:$S$501,"=32")</f>
        <v>25767</v>
      </c>
      <c r="L24" s="82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M24" s="82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N24" s="82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O24" s="82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P24" s="82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Q24" s="82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R24" s="82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S24" s="82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T24" s="82">
        <f>SUMIFS('Unos rashoda i izdataka'!$K$3:$K$501,'Unos rashoda i izdataka'!$C$3:$C$501,"=61",'Unos rashoda i izdataka'!$P$3:$P$501,"=32")+SUMIFS('Unos rashoda P4'!$I$3:$I$501,'Unos rashoda P4'!$A$3:$A$501,"=61",'Unos rashoda P4'!$S$3:$S$501,"=32")</f>
        <v>0</v>
      </c>
      <c r="U24" s="82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V24" s="82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W24" s="82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L24" s="39"/>
      <c r="GM24" s="39"/>
      <c r="GN24" s="39"/>
      <c r="GO24" s="39"/>
      <c r="GP24" s="39"/>
      <c r="GQ24" s="39"/>
      <c r="GR24" s="39"/>
      <c r="GS24" s="39"/>
      <c r="GT24" s="39"/>
      <c r="GU24" s="39"/>
      <c r="GV24" s="39"/>
      <c r="GW24" s="39"/>
      <c r="GX24" s="39"/>
      <c r="GY24" s="39"/>
      <c r="GZ24" s="39"/>
      <c r="HA24" s="39"/>
      <c r="HB24" s="39"/>
      <c r="HC24" s="39"/>
      <c r="HD24" s="39"/>
      <c r="HE24" s="39"/>
      <c r="HF24" s="39"/>
      <c r="HG24" s="39"/>
      <c r="HH24" s="39"/>
      <c r="HI24" s="39"/>
      <c r="HJ24" s="39"/>
      <c r="HK24" s="39"/>
      <c r="HL24" s="39"/>
      <c r="HM24" s="39"/>
      <c r="HN24" s="39"/>
      <c r="HO24" s="39"/>
      <c r="HP24" s="39"/>
      <c r="HQ24" s="39"/>
      <c r="HR24" s="39"/>
      <c r="HS24" s="39"/>
      <c r="HT24" s="39"/>
      <c r="HU24" s="39"/>
      <c r="HV24" s="39"/>
      <c r="HW24" s="39"/>
      <c r="HX24" s="39"/>
      <c r="HY24" s="39"/>
      <c r="HZ24" s="39"/>
      <c r="IA24" s="39"/>
      <c r="IB24" s="39"/>
      <c r="IC24" s="39"/>
      <c r="ID24" s="39"/>
      <c r="IE24" s="39"/>
      <c r="IF24" s="39"/>
      <c r="IG24" s="39"/>
      <c r="IH24" s="39"/>
      <c r="II24" s="39"/>
      <c r="IJ24" s="39"/>
      <c r="IK24" s="39"/>
      <c r="IL24" s="39"/>
      <c r="IM24" s="39"/>
      <c r="IN24" s="39"/>
      <c r="IO24" s="39"/>
      <c r="IP24" s="39"/>
      <c r="IQ24" s="39"/>
      <c r="IR24" s="39"/>
      <c r="IS24" s="39"/>
      <c r="IT24" s="39"/>
      <c r="IU24" s="39"/>
      <c r="IV24" s="39"/>
      <c r="IW24" s="39"/>
      <c r="IX24" s="39"/>
      <c r="IY24" s="39"/>
      <c r="IZ24" s="39"/>
      <c r="JA24" s="39"/>
      <c r="JB24" s="39"/>
      <c r="JC24" s="39"/>
    </row>
    <row r="25" spans="1:263" s="14" customFormat="1" ht="12.6" customHeight="1">
      <c r="A25" s="287">
        <v>2024</v>
      </c>
      <c r="B25" s="37">
        <v>34</v>
      </c>
      <c r="C25" s="13" t="s">
        <v>200</v>
      </c>
      <c r="D25" s="78">
        <f t="shared" si="10"/>
        <v>19748</v>
      </c>
      <c r="E25" s="82">
        <f>SUMIFS('Unos rashoda i izdataka'!$K$3:$K$501,'Unos rashoda i izdataka'!$C$3:$C$501,"=11",'Unos rashoda i izdataka'!$P$3:$P$501,"=34")+SUMIFS('Unos rashoda P4'!$I$3:$I$501,'Unos rashoda P4'!$A$3:$A$501,"=11",'Unos rashoda P4'!$S$3:$S$501,"=34")</f>
        <v>3649</v>
      </c>
      <c r="F25" s="82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G25" s="82">
        <f>SUMIFS('Unos rashoda i izdataka'!$K$3:$K$501,'Unos rashoda i izdataka'!$C$3:$C$501,"=31",'Unos rashoda i izdataka'!$P$3:$P$501,"=34")+SUMIFS('Unos rashoda P4'!$I$3:$I$501,'Unos rashoda P4'!$A$3:$A$501,"=31",'Unos rashoda P4'!$S$3:$S$501,"=34")</f>
        <v>2202</v>
      </c>
      <c r="H25" s="82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I25" s="82">
        <f>SUMIFS('Unos rashoda i izdataka'!$K$3:$K$501,'Unos rashoda i izdataka'!$C$3:$C$501,"=43",'Unos rashoda i izdataka'!$P$3:$P$501,"=34")+SUMIFS('Unos rashoda P4'!$I$3:$I$501,'Unos rashoda P4'!$A$3:$A$501,"=43",'Unos rashoda P4'!$S$3:$S$501,"=34")</f>
        <v>13821</v>
      </c>
      <c r="J25" s="82">
        <f>SUMIFS('Unos rashoda i izdataka'!$K$3:$K$501,'Unos rashoda i izdataka'!$C$3:$C$501,"=51",'Unos rashoda i izdataka'!$P$3:$P$501,"=34")+SUMIFS('Unos rashoda P4'!$I$3:$I$501,'Unos rashoda P4'!$A$3:$A$501,"=51",'Unos rashoda P4'!$S$3:$S$501,"=34")</f>
        <v>76</v>
      </c>
      <c r="K25" s="82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L25" s="82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M25" s="82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N25" s="82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O25" s="82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P25" s="82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Q25" s="82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R25" s="82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S25" s="82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T25" s="82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U25" s="82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V25" s="82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W25" s="82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/>
      <c r="EA25" s="38"/>
      <c r="EB25" s="38"/>
      <c r="EC25" s="38"/>
      <c r="ED25" s="38"/>
      <c r="EE25" s="38"/>
      <c r="EF25" s="38"/>
      <c r="EG25" s="38"/>
      <c r="EH25" s="38"/>
      <c r="EI25" s="38"/>
      <c r="EJ25" s="38"/>
      <c r="EK25" s="38"/>
      <c r="EL25" s="38"/>
      <c r="EM25" s="38"/>
      <c r="EN25" s="38"/>
      <c r="EO25" s="38"/>
      <c r="EP25" s="38"/>
      <c r="EQ25" s="38"/>
      <c r="ER25" s="38"/>
      <c r="ES25" s="38"/>
      <c r="ET25" s="38"/>
      <c r="EU25" s="38"/>
      <c r="EV25" s="38"/>
      <c r="EW25" s="38"/>
      <c r="EX25" s="38"/>
      <c r="EY25" s="38"/>
      <c r="EZ25" s="38"/>
      <c r="FA25" s="38"/>
      <c r="FB25" s="38"/>
      <c r="FC25" s="38"/>
      <c r="FD25" s="38"/>
      <c r="FE25" s="38"/>
      <c r="FF25" s="38"/>
      <c r="FG25" s="38"/>
      <c r="FH25" s="38"/>
      <c r="FI25" s="38"/>
      <c r="FJ25" s="38"/>
      <c r="FK25" s="38"/>
      <c r="FL25" s="38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/>
      <c r="FX25" s="38"/>
      <c r="FY25" s="38"/>
      <c r="FZ25" s="38"/>
      <c r="GA25" s="38"/>
      <c r="GB25" s="38"/>
      <c r="GC25" s="38"/>
      <c r="GD25" s="38"/>
      <c r="GE25" s="38"/>
      <c r="GF25" s="38"/>
      <c r="GG25" s="38"/>
      <c r="GH25" s="38"/>
      <c r="GI25" s="38"/>
      <c r="GJ25" s="38"/>
      <c r="GK25" s="38"/>
      <c r="GL25" s="39"/>
      <c r="GM25" s="39"/>
      <c r="GN25" s="39"/>
      <c r="GO25" s="39"/>
      <c r="GP25" s="39"/>
      <c r="GQ25" s="39"/>
      <c r="GR25" s="39"/>
      <c r="GS25" s="39"/>
      <c r="GT25" s="39"/>
      <c r="GU25" s="39"/>
      <c r="GV25" s="39"/>
      <c r="GW25" s="39"/>
      <c r="GX25" s="39"/>
      <c r="GY25" s="39"/>
      <c r="GZ25" s="39"/>
      <c r="HA25" s="39"/>
      <c r="HB25" s="39"/>
      <c r="HC25" s="39"/>
      <c r="HD25" s="39"/>
      <c r="HE25" s="39"/>
      <c r="HF25" s="39"/>
      <c r="HG25" s="39"/>
      <c r="HH25" s="39"/>
      <c r="HI25" s="39"/>
      <c r="HJ25" s="39"/>
      <c r="HK25" s="39"/>
      <c r="HL25" s="39"/>
      <c r="HM25" s="39"/>
      <c r="HN25" s="39"/>
      <c r="HO25" s="39"/>
      <c r="HP25" s="39"/>
      <c r="HQ25" s="39"/>
      <c r="HR25" s="39"/>
      <c r="HS25" s="39"/>
      <c r="HT25" s="39"/>
      <c r="HU25" s="39"/>
      <c r="HV25" s="39"/>
      <c r="HW25" s="39"/>
      <c r="HX25" s="39"/>
      <c r="HY25" s="39"/>
      <c r="HZ25" s="39"/>
      <c r="IA25" s="39"/>
      <c r="IB25" s="39"/>
      <c r="IC25" s="39"/>
      <c r="ID25" s="39"/>
      <c r="IE25" s="39"/>
      <c r="IF25" s="39"/>
      <c r="IG25" s="39"/>
      <c r="IH25" s="39"/>
      <c r="II25" s="39"/>
      <c r="IJ25" s="39"/>
      <c r="IK25" s="39"/>
      <c r="IL25" s="39"/>
      <c r="IM25" s="39"/>
      <c r="IN25" s="39"/>
      <c r="IO25" s="39"/>
      <c r="IP25" s="39"/>
      <c r="IQ25" s="39"/>
      <c r="IR25" s="39"/>
      <c r="IS25" s="39"/>
      <c r="IT25" s="39"/>
      <c r="IU25" s="39"/>
      <c r="IV25" s="39"/>
      <c r="IW25" s="39"/>
      <c r="IX25" s="39"/>
      <c r="IY25" s="39"/>
      <c r="IZ25" s="39"/>
      <c r="JA25" s="39"/>
      <c r="JB25" s="39"/>
      <c r="JC25" s="39"/>
    </row>
    <row r="26" spans="1:263" s="38" customFormat="1" ht="12.6" customHeight="1">
      <c r="A26" s="287">
        <v>2024</v>
      </c>
      <c r="B26" s="37">
        <v>35</v>
      </c>
      <c r="C26" s="13" t="s">
        <v>252</v>
      </c>
      <c r="D26" s="78">
        <f t="shared" si="10"/>
        <v>0</v>
      </c>
      <c r="E26" s="82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F26" s="82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G26" s="82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H26" s="82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I26" s="82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J26" s="82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K26" s="82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L26" s="82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M26" s="82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N26" s="82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O26" s="82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P26" s="82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Q26" s="82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R26" s="82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S26" s="82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T26" s="82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U26" s="82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V26" s="82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W26" s="82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L26" s="39"/>
      <c r="GM26" s="39"/>
      <c r="GN26" s="39"/>
      <c r="GO26" s="39"/>
      <c r="GP26" s="39"/>
      <c r="GQ26" s="39"/>
      <c r="GR26" s="39"/>
      <c r="GS26" s="39"/>
      <c r="GT26" s="39"/>
      <c r="GU26" s="39"/>
      <c r="GV26" s="39"/>
      <c r="GW26" s="39"/>
      <c r="GX26" s="39"/>
      <c r="GY26" s="39"/>
      <c r="GZ26" s="39"/>
      <c r="HA26" s="39"/>
      <c r="HB26" s="39"/>
      <c r="HC26" s="39"/>
      <c r="HD26" s="39"/>
      <c r="HE26" s="39"/>
      <c r="HF26" s="39"/>
      <c r="HG26" s="39"/>
      <c r="HH26" s="39"/>
      <c r="HI26" s="39"/>
      <c r="HJ26" s="39"/>
      <c r="HK26" s="39"/>
      <c r="HL26" s="39"/>
      <c r="HM26" s="39"/>
      <c r="HN26" s="39"/>
      <c r="HO26" s="39"/>
      <c r="HP26" s="39"/>
      <c r="HQ26" s="39"/>
      <c r="HR26" s="39"/>
      <c r="HS26" s="39"/>
      <c r="HT26" s="39"/>
      <c r="HU26" s="39"/>
      <c r="HV26" s="39"/>
      <c r="HW26" s="39"/>
      <c r="HX26" s="39"/>
      <c r="HY26" s="39"/>
      <c r="HZ26" s="39"/>
      <c r="IA26" s="39"/>
      <c r="IB26" s="39"/>
      <c r="IC26" s="39"/>
      <c r="ID26" s="39"/>
      <c r="IE26" s="39"/>
      <c r="IF26" s="39"/>
      <c r="IG26" s="39"/>
      <c r="IH26" s="39"/>
      <c r="II26" s="39"/>
      <c r="IJ26" s="39"/>
      <c r="IK26" s="39"/>
      <c r="IL26" s="39"/>
      <c r="IM26" s="39"/>
      <c r="IN26" s="39"/>
      <c r="IO26" s="39"/>
      <c r="IP26" s="39"/>
      <c r="IQ26" s="39"/>
      <c r="IR26" s="39"/>
      <c r="IS26" s="39"/>
      <c r="IT26" s="39"/>
      <c r="IU26" s="39"/>
      <c r="IV26" s="39"/>
      <c r="IW26" s="39"/>
      <c r="IX26" s="39"/>
      <c r="IY26" s="39"/>
      <c r="IZ26" s="39"/>
      <c r="JA26" s="39"/>
      <c r="JB26" s="39"/>
      <c r="JC26" s="39"/>
    </row>
    <row r="27" spans="1:263" s="38" customFormat="1" ht="12.6" customHeight="1">
      <c r="A27" s="287">
        <v>2024</v>
      </c>
      <c r="B27" s="37">
        <v>36</v>
      </c>
      <c r="C27" s="15" t="s">
        <v>201</v>
      </c>
      <c r="D27" s="78">
        <f t="shared" si="10"/>
        <v>0</v>
      </c>
      <c r="E27" s="82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F27" s="82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G27" s="82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H27" s="82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I27" s="82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J27" s="82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K27" s="82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L27" s="82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M27" s="82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N27" s="82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O27" s="82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P27" s="82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Q27" s="82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R27" s="82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S27" s="82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T27" s="82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U27" s="82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V27" s="82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W27" s="82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L27" s="39"/>
      <c r="GM27" s="39"/>
      <c r="GN27" s="39"/>
      <c r="GO27" s="39"/>
      <c r="GP27" s="39"/>
      <c r="GQ27" s="39"/>
      <c r="GR27" s="39"/>
      <c r="GS27" s="39"/>
      <c r="GT27" s="39"/>
      <c r="GU27" s="39"/>
      <c r="GV27" s="39"/>
      <c r="GW27" s="39"/>
      <c r="GX27" s="39"/>
      <c r="GY27" s="39"/>
      <c r="GZ27" s="39"/>
      <c r="HA27" s="39"/>
      <c r="HB27" s="39"/>
      <c r="HC27" s="39"/>
      <c r="HD27" s="39"/>
      <c r="HE27" s="39"/>
      <c r="HF27" s="39"/>
      <c r="HG27" s="39"/>
      <c r="HH27" s="39"/>
      <c r="HI27" s="39"/>
      <c r="HJ27" s="39"/>
      <c r="HK27" s="39"/>
      <c r="HL27" s="39"/>
      <c r="HM27" s="39"/>
      <c r="HN27" s="39"/>
      <c r="HO27" s="39"/>
      <c r="HP27" s="39"/>
      <c r="HQ27" s="39"/>
      <c r="HR27" s="39"/>
      <c r="HS27" s="39"/>
      <c r="HT27" s="39"/>
      <c r="HU27" s="39"/>
      <c r="HV27" s="39"/>
      <c r="HW27" s="39"/>
      <c r="HX27" s="39"/>
      <c r="HY27" s="39"/>
      <c r="HZ27" s="39"/>
      <c r="IA27" s="39"/>
      <c r="IB27" s="39"/>
      <c r="IC27" s="39"/>
      <c r="ID27" s="39"/>
      <c r="IE27" s="39"/>
      <c r="IF27" s="39"/>
      <c r="IG27" s="39"/>
      <c r="IH27" s="39"/>
      <c r="II27" s="39"/>
      <c r="IJ27" s="39"/>
      <c r="IK27" s="39"/>
      <c r="IL27" s="39"/>
      <c r="IM27" s="39"/>
      <c r="IN27" s="39"/>
      <c r="IO27" s="39"/>
      <c r="IP27" s="39"/>
      <c r="IQ27" s="39"/>
      <c r="IR27" s="39"/>
      <c r="IS27" s="39"/>
      <c r="IT27" s="39"/>
      <c r="IU27" s="39"/>
      <c r="IV27" s="39"/>
      <c r="IW27" s="39"/>
      <c r="IX27" s="39"/>
      <c r="IY27" s="39"/>
      <c r="IZ27" s="39"/>
      <c r="JA27" s="39"/>
      <c r="JB27" s="39"/>
      <c r="JC27" s="39"/>
    </row>
    <row r="28" spans="1:263" s="16" customFormat="1" ht="12.6" customHeight="1">
      <c r="A28" s="287">
        <v>2024</v>
      </c>
      <c r="B28" s="37">
        <v>37</v>
      </c>
      <c r="C28" s="13" t="s">
        <v>253</v>
      </c>
      <c r="D28" s="78">
        <f t="shared" si="10"/>
        <v>19493</v>
      </c>
      <c r="E28" s="82">
        <f>SUMIFS('Unos rashoda i izdataka'!$K$3:$K$501,'Unos rashoda i izdataka'!$C$3:$C$501,"=11",'Unos rashoda i izdataka'!$P$3:$P$501,"=37")+SUMIFS('Unos rashoda P4'!$I$3:$I$501,'Unos rashoda P4'!$A$3:$A$501,"=11",'Unos rashoda P4'!$S$3:$S$501,"=37")</f>
        <v>11026</v>
      </c>
      <c r="F28" s="82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G28" s="82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H28" s="82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I28" s="82">
        <f>SUMIFS('Unos rashoda i izdataka'!$K$3:$K$501,'Unos rashoda i izdataka'!$C$3:$C$501,"=43",'Unos rashoda i izdataka'!$P$3:$P$501,"=37")+SUMIFS('Unos rashoda P4'!$I$3:$I$501,'Unos rashoda P4'!$A$3:$A$501,"=43",'Unos rashoda P4'!$S$3:$S$501,"=37")</f>
        <v>7518</v>
      </c>
      <c r="J28" s="82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K28" s="82">
        <f>SUMIFS('Unos rashoda i izdataka'!$K$3:$K$501,'Unos rashoda i izdataka'!$C$3:$C$501,"=52",'Unos rashoda i izdataka'!$P$3:$P$501,"=37")+SUMIFS('Unos rashoda P4'!$I$3:$I$501,'Unos rashoda P4'!$A$3:$A$501,"=52",'Unos rashoda P4'!$S$3:$S$501,"=37")</f>
        <v>949</v>
      </c>
      <c r="L28" s="82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M28" s="82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N28" s="82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O28" s="82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P28" s="82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Q28" s="82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R28" s="82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S28" s="82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T28" s="82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U28" s="82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V28" s="82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W28" s="82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9"/>
      <c r="GM28" s="39"/>
      <c r="GN28" s="39"/>
      <c r="GO28" s="39"/>
      <c r="GP28" s="39"/>
      <c r="GQ28" s="39"/>
      <c r="GR28" s="39"/>
      <c r="GS28" s="39"/>
      <c r="GT28" s="39"/>
      <c r="GU28" s="39"/>
      <c r="GV28" s="39"/>
      <c r="GW28" s="39"/>
      <c r="GX28" s="39"/>
      <c r="GY28" s="39"/>
      <c r="GZ28" s="39"/>
      <c r="HA28" s="39"/>
      <c r="HB28" s="39"/>
      <c r="HC28" s="39"/>
      <c r="HD28" s="39"/>
      <c r="HE28" s="39"/>
      <c r="HF28" s="39"/>
      <c r="HG28" s="39"/>
      <c r="HH28" s="39"/>
      <c r="HI28" s="39"/>
      <c r="HJ28" s="39"/>
      <c r="HK28" s="39"/>
      <c r="HL28" s="39"/>
      <c r="HM28" s="39"/>
      <c r="HN28" s="39"/>
      <c r="HO28" s="39"/>
      <c r="HP28" s="39"/>
      <c r="HQ28" s="39"/>
      <c r="HR28" s="39"/>
      <c r="HS28" s="39"/>
      <c r="HT28" s="39"/>
      <c r="HU28" s="39"/>
      <c r="HV28" s="39"/>
      <c r="HW28" s="39"/>
      <c r="HX28" s="39"/>
      <c r="HY28" s="39"/>
      <c r="HZ28" s="39"/>
      <c r="IA28" s="39"/>
      <c r="IB28" s="39"/>
      <c r="IC28" s="39"/>
      <c r="ID28" s="39"/>
      <c r="IE28" s="39"/>
      <c r="IF28" s="39"/>
      <c r="IG28" s="39"/>
      <c r="IH28" s="39"/>
      <c r="II28" s="39"/>
      <c r="IJ28" s="39"/>
      <c r="IK28" s="39"/>
      <c r="IL28" s="39"/>
      <c r="IM28" s="39"/>
      <c r="IN28" s="39"/>
      <c r="IO28" s="39"/>
      <c r="IP28" s="39"/>
      <c r="IQ28" s="39"/>
      <c r="IR28" s="39"/>
      <c r="IS28" s="39"/>
      <c r="IT28" s="39"/>
      <c r="IU28" s="39"/>
      <c r="IV28" s="39"/>
      <c r="IW28" s="39"/>
      <c r="IX28" s="39"/>
      <c r="IY28" s="39"/>
      <c r="IZ28" s="39"/>
      <c r="JA28" s="39"/>
      <c r="JB28" s="39"/>
      <c r="JC28" s="39"/>
    </row>
    <row r="29" spans="1:263" s="16" customFormat="1" ht="12.6" customHeight="1">
      <c r="A29" s="287">
        <v>2024</v>
      </c>
      <c r="B29" s="37">
        <v>38</v>
      </c>
      <c r="C29" s="13" t="s">
        <v>202</v>
      </c>
      <c r="D29" s="78">
        <f t="shared" si="10"/>
        <v>0</v>
      </c>
      <c r="E29" s="82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F29" s="82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G29" s="82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H29" s="82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I29" s="82">
        <f>SUMIFS('Unos rashoda i izdataka'!$K$3:$K$501,'Unos rashoda i izdataka'!$C$3:$C$501,"=43",'Unos rashoda i izdataka'!$P$3:$P$501,"=38")+SUMIFS('Unos rashoda P4'!$I$3:$I$501,'Unos rashoda P4'!$A$3:$A$501,"=43",'Unos rashoda P4'!$S$3:$S$501,"=38")</f>
        <v>0</v>
      </c>
      <c r="J29" s="82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K29" s="82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L29" s="82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M29" s="82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N29" s="82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O29" s="82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P29" s="82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Q29" s="82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R29" s="82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S29" s="82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T29" s="82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U29" s="82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V29" s="82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W29" s="82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8"/>
      <c r="FH29" s="38"/>
      <c r="FI29" s="38"/>
      <c r="FJ29" s="38"/>
      <c r="FK29" s="38"/>
      <c r="FL29" s="38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/>
      <c r="FX29" s="38"/>
      <c r="FY29" s="38"/>
      <c r="FZ29" s="38"/>
      <c r="GA29" s="38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9"/>
      <c r="GM29" s="39"/>
      <c r="GN29" s="39"/>
      <c r="GO29" s="39"/>
      <c r="GP29" s="39"/>
      <c r="GQ29" s="39"/>
      <c r="GR29" s="39"/>
      <c r="GS29" s="39"/>
      <c r="GT29" s="39"/>
      <c r="GU29" s="39"/>
      <c r="GV29" s="39"/>
      <c r="GW29" s="39"/>
      <c r="GX29" s="39"/>
      <c r="GY29" s="39"/>
      <c r="GZ29" s="39"/>
      <c r="HA29" s="39"/>
      <c r="HB29" s="39"/>
      <c r="HC29" s="39"/>
      <c r="HD29" s="39"/>
      <c r="HE29" s="39"/>
      <c r="HF29" s="39"/>
      <c r="HG29" s="39"/>
      <c r="HH29" s="39"/>
      <c r="HI29" s="39"/>
      <c r="HJ29" s="39"/>
      <c r="HK29" s="39"/>
      <c r="HL29" s="39"/>
      <c r="HM29" s="39"/>
      <c r="HN29" s="39"/>
      <c r="HO29" s="39"/>
      <c r="HP29" s="39"/>
      <c r="HQ29" s="39"/>
      <c r="HR29" s="39"/>
      <c r="HS29" s="39"/>
      <c r="HT29" s="39"/>
      <c r="HU29" s="39"/>
      <c r="HV29" s="39"/>
      <c r="HW29" s="39"/>
      <c r="HX29" s="39"/>
      <c r="HY29" s="39"/>
      <c r="HZ29" s="39"/>
      <c r="IA29" s="39"/>
      <c r="IB29" s="39"/>
      <c r="IC29" s="39"/>
      <c r="ID29" s="39"/>
      <c r="IE29" s="39"/>
      <c r="IF29" s="39"/>
      <c r="IG29" s="39"/>
      <c r="IH29" s="39"/>
      <c r="II29" s="39"/>
      <c r="IJ29" s="39"/>
      <c r="IK29" s="39"/>
      <c r="IL29" s="39"/>
      <c r="IM29" s="39"/>
      <c r="IN29" s="39"/>
      <c r="IO29" s="39"/>
      <c r="IP29" s="39"/>
      <c r="IQ29" s="39"/>
      <c r="IR29" s="39"/>
      <c r="IS29" s="39"/>
      <c r="IT29" s="39"/>
      <c r="IU29" s="39"/>
      <c r="IV29" s="39"/>
      <c r="IW29" s="39"/>
      <c r="IX29" s="39"/>
      <c r="IY29" s="39"/>
      <c r="IZ29" s="39"/>
      <c r="JA29" s="39"/>
      <c r="JB29" s="39"/>
      <c r="JC29" s="39"/>
    </row>
    <row r="30" spans="1:263" s="17" customFormat="1" ht="12.6" customHeight="1">
      <c r="A30" s="287">
        <v>2024</v>
      </c>
      <c r="B30" s="73">
        <v>4</v>
      </c>
      <c r="C30" s="74" t="s">
        <v>203</v>
      </c>
      <c r="D30" s="72">
        <f t="shared" si="10"/>
        <v>145175</v>
      </c>
      <c r="E30" s="76">
        <f t="shared" ref="E30:G30" si="13">SUM(E31:E35)</f>
        <v>18605</v>
      </c>
      <c r="F30" s="76">
        <f t="shared" si="13"/>
        <v>0</v>
      </c>
      <c r="G30" s="76">
        <f t="shared" si="13"/>
        <v>64311</v>
      </c>
      <c r="H30" s="76">
        <f>SUM(H31:H35)</f>
        <v>0</v>
      </c>
      <c r="I30" s="76">
        <f t="shared" ref="I30:K30" si="14">SUM(I31:I35)</f>
        <v>62259</v>
      </c>
      <c r="J30" s="76">
        <f t="shared" si="14"/>
        <v>0</v>
      </c>
      <c r="K30" s="76">
        <f t="shared" si="14"/>
        <v>0</v>
      </c>
      <c r="L30" s="76">
        <f>SUM(L31:L35)</f>
        <v>0</v>
      </c>
      <c r="M30" s="76">
        <f t="shared" ref="M30:O30" si="15">SUM(M31:M35)</f>
        <v>0</v>
      </c>
      <c r="N30" s="76">
        <f t="shared" si="15"/>
        <v>0</v>
      </c>
      <c r="O30" s="76">
        <f t="shared" si="15"/>
        <v>0</v>
      </c>
      <c r="P30" s="76">
        <f>SUM(P31:P35)</f>
        <v>0</v>
      </c>
      <c r="Q30" s="76">
        <f>SUM(Q31:Q35)</f>
        <v>0</v>
      </c>
      <c r="R30" s="76">
        <f>SUM(R31:R35)</f>
        <v>0</v>
      </c>
      <c r="S30" s="76">
        <f>SUM(S31:S35)</f>
        <v>0</v>
      </c>
      <c r="T30" s="76">
        <f t="shared" ref="T30:W30" si="16">SUM(T31:T35)</f>
        <v>0</v>
      </c>
      <c r="U30" s="76">
        <f t="shared" si="16"/>
        <v>0</v>
      </c>
      <c r="V30" s="76">
        <f t="shared" si="16"/>
        <v>0</v>
      </c>
      <c r="W30" s="76">
        <f t="shared" si="16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" customHeight="1">
      <c r="A31" s="287">
        <v>2024</v>
      </c>
      <c r="B31" s="9">
        <v>41</v>
      </c>
      <c r="C31" s="10" t="s">
        <v>254</v>
      </c>
      <c r="D31" s="78">
        <f t="shared" si="10"/>
        <v>0</v>
      </c>
      <c r="E31" s="82">
        <f>SUMIFS('Unos rashoda i izdataka'!$K$3:$K$501,'Unos rashoda i izdataka'!$C$3:$C$501,"=11",'Unos rashoda i izdataka'!$P$3:$P$501,"=41")+SUMIFS('Unos rashoda P4'!$I$3:$I$501,'Unos rashoda P4'!$A$3:$A$501,"=11",'Unos rashoda P4'!$S$3:$S$501,"=41")</f>
        <v>0</v>
      </c>
      <c r="F31" s="82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G31" s="82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H31" s="82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I31" s="82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J31" s="82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K31" s="82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L31" s="82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M31" s="82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N31" s="82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O31" s="82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P31" s="82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Q31" s="82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R31" s="82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S31" s="82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T31" s="82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U31" s="82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V31" s="82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W31" s="82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9"/>
      <c r="GM31" s="39"/>
      <c r="GN31" s="39"/>
      <c r="GO31" s="39"/>
      <c r="GP31" s="39"/>
      <c r="GQ31" s="39"/>
      <c r="GR31" s="39"/>
      <c r="GS31" s="39"/>
      <c r="GT31" s="39"/>
      <c r="GU31" s="39"/>
      <c r="GV31" s="39"/>
      <c r="GW31" s="39"/>
      <c r="GX31" s="39"/>
      <c r="GY31" s="39"/>
      <c r="GZ31" s="39"/>
      <c r="HA31" s="39"/>
      <c r="HB31" s="39"/>
      <c r="HC31" s="39"/>
      <c r="HD31" s="39"/>
      <c r="HE31" s="39"/>
      <c r="HF31" s="39"/>
      <c r="HG31" s="39"/>
      <c r="HH31" s="39"/>
      <c r="HI31" s="39"/>
      <c r="HJ31" s="39"/>
      <c r="HK31" s="39"/>
      <c r="HL31" s="39"/>
      <c r="HM31" s="39"/>
      <c r="HN31" s="39"/>
      <c r="HO31" s="39"/>
      <c r="HP31" s="39"/>
      <c r="HQ31" s="39"/>
      <c r="HR31" s="39"/>
      <c r="HS31" s="39"/>
      <c r="HT31" s="39"/>
      <c r="HU31" s="39"/>
      <c r="HV31" s="39"/>
      <c r="HW31" s="39"/>
      <c r="HX31" s="39"/>
      <c r="HY31" s="39"/>
      <c r="HZ31" s="39"/>
      <c r="IA31" s="39"/>
      <c r="IB31" s="39"/>
      <c r="IC31" s="39"/>
      <c r="ID31" s="39"/>
      <c r="IE31" s="39"/>
      <c r="IF31" s="39"/>
      <c r="IG31" s="39"/>
      <c r="IH31" s="39"/>
      <c r="II31" s="39"/>
      <c r="IJ31" s="39"/>
      <c r="IK31" s="39"/>
      <c r="IL31" s="39"/>
      <c r="IM31" s="39"/>
      <c r="IN31" s="39"/>
      <c r="IO31" s="39"/>
      <c r="IP31" s="39"/>
      <c r="IQ31" s="39"/>
      <c r="IR31" s="39"/>
      <c r="IS31" s="39"/>
      <c r="IT31" s="39"/>
      <c r="IU31" s="39"/>
      <c r="IV31" s="39"/>
      <c r="IW31" s="39"/>
      <c r="IX31" s="39"/>
      <c r="IY31" s="39"/>
      <c r="IZ31" s="39"/>
      <c r="JA31" s="39"/>
      <c r="JB31" s="39"/>
      <c r="JC31" s="39"/>
    </row>
    <row r="32" spans="1:263" s="16" customFormat="1" ht="12.6" customHeight="1">
      <c r="A32" s="287">
        <v>2024</v>
      </c>
      <c r="B32" s="37">
        <v>42</v>
      </c>
      <c r="C32" s="13" t="s">
        <v>231</v>
      </c>
      <c r="D32" s="78">
        <f t="shared" si="10"/>
        <v>145175</v>
      </c>
      <c r="E32" s="82">
        <f>SUMIFS('Unos rashoda i izdataka'!$K$3:$K$501,'Unos rashoda i izdataka'!$C$3:$C$501,"=11",'Unos rashoda i izdataka'!$P$3:$P$501,"=42")+SUMIFS('Unos rashoda P4'!$I$3:$I$501,'Unos rashoda P4'!$A$3:$A$501,"=11",'Unos rashoda P4'!$S$3:$S$501,"=42")</f>
        <v>18605</v>
      </c>
      <c r="F32" s="82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G32" s="82">
        <f>SUMIFS('Unos rashoda i izdataka'!$K$3:$K$501,'Unos rashoda i izdataka'!$C$3:$C$501,"=31",'Unos rashoda i izdataka'!$P$3:$P$501,"=42")+SUMIFS('Unos rashoda P4'!$I$3:$I$501,'Unos rashoda P4'!$A$3:$A$501,"=31",'Unos rashoda P4'!$S$3:$S$501,"=42")</f>
        <v>64311</v>
      </c>
      <c r="H32" s="82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I32" s="82">
        <f>SUMIFS('Unos rashoda i izdataka'!$K$3:$K$501,'Unos rashoda i izdataka'!$C$3:$C$501,"=43",'Unos rashoda i izdataka'!$P$3:$P$501,"=42")+SUMIFS('Unos rashoda P4'!$I$3:$I$501,'Unos rashoda P4'!$A$3:$A$501,"=43",'Unos rashoda P4'!$S$3:$S$501,"=42")</f>
        <v>62259</v>
      </c>
      <c r="J32" s="82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K32" s="82">
        <f>SUMIFS('Unos rashoda i izdataka'!$K$3:$K$501,'Unos rashoda i izdataka'!$C$3:$C$501,"=52",'Unos rashoda i izdataka'!$P$3:$P$501,"=42")+SUMIFS('Unos rashoda P4'!$I$3:$I$501,'Unos rashoda P4'!$A$3:$A$501,"=52",'Unos rashoda P4'!$S$3:$S$501,"=42")</f>
        <v>0</v>
      </c>
      <c r="L32" s="82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M32" s="82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N32" s="82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O32" s="82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P32" s="82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Q32" s="82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R32" s="82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S32" s="82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T32" s="82">
        <f>SUMIFS('Unos rashoda i izdataka'!$K$3:$K$501,'Unos rashoda i izdataka'!$C$3:$C$501,"=61",'Unos rashoda i izdataka'!$P$3:$P$501,"=42")+SUMIFS('Unos rashoda P4'!$I$3:$I$501,'Unos rashoda P4'!$A$3:$A$501,"=61",'Unos rashoda P4'!$S$3:$S$501,"=42")</f>
        <v>0</v>
      </c>
      <c r="U32" s="82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V32" s="82">
        <f>SUMIFS('Unos rashoda i izdataka'!$K$3:$K$501,'Unos rashoda i izdataka'!$C$3:$C$501,"=71",'Unos rashoda i izdataka'!$P$3:$P$501,"=42")+SUMIFS('Unos rashoda P4'!$I$3:$I$501,'Unos rashoda P4'!$A$3:$A$501,"=71",'Unos rashoda P4'!$S$3:$S$501,"=42")</f>
        <v>0</v>
      </c>
      <c r="W32" s="82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9"/>
      <c r="GM32" s="39"/>
      <c r="GN32" s="39"/>
      <c r="GO32" s="39"/>
      <c r="GP32" s="39"/>
      <c r="GQ32" s="39"/>
      <c r="GR32" s="39"/>
      <c r="GS32" s="39"/>
      <c r="GT32" s="39"/>
      <c r="GU32" s="39"/>
      <c r="GV32" s="39"/>
      <c r="GW32" s="39"/>
      <c r="GX32" s="39"/>
      <c r="GY32" s="39"/>
      <c r="GZ32" s="39"/>
      <c r="HA32" s="39"/>
      <c r="HB32" s="39"/>
      <c r="HC32" s="39"/>
      <c r="HD32" s="39"/>
      <c r="HE32" s="39"/>
      <c r="HF32" s="39"/>
      <c r="HG32" s="39"/>
      <c r="HH32" s="39"/>
      <c r="HI32" s="39"/>
      <c r="HJ32" s="39"/>
      <c r="HK32" s="39"/>
      <c r="HL32" s="39"/>
      <c r="HM32" s="39"/>
      <c r="HN32" s="39"/>
      <c r="HO32" s="39"/>
      <c r="HP32" s="39"/>
      <c r="HQ32" s="39"/>
      <c r="HR32" s="39"/>
      <c r="HS32" s="39"/>
      <c r="HT32" s="39"/>
      <c r="HU32" s="39"/>
      <c r="HV32" s="39"/>
      <c r="HW32" s="39"/>
      <c r="HX32" s="39"/>
      <c r="HY32" s="39"/>
      <c r="HZ32" s="39"/>
      <c r="IA32" s="39"/>
      <c r="IB32" s="39"/>
      <c r="IC32" s="39"/>
      <c r="ID32" s="39"/>
      <c r="IE32" s="39"/>
      <c r="IF32" s="39"/>
      <c r="IG32" s="39"/>
      <c r="IH32" s="39"/>
      <c r="II32" s="39"/>
      <c r="IJ32" s="39"/>
      <c r="IK32" s="39"/>
      <c r="IL32" s="39"/>
      <c r="IM32" s="39"/>
      <c r="IN32" s="39"/>
      <c r="IO32" s="39"/>
      <c r="IP32" s="39"/>
      <c r="IQ32" s="39"/>
      <c r="IR32" s="39"/>
      <c r="IS32" s="39"/>
      <c r="IT32" s="39"/>
      <c r="IU32" s="39"/>
      <c r="IV32" s="39"/>
      <c r="IW32" s="39"/>
      <c r="IX32" s="39"/>
      <c r="IY32" s="39"/>
      <c r="IZ32" s="39"/>
      <c r="JA32" s="39"/>
      <c r="JB32" s="39"/>
      <c r="JC32" s="39"/>
    </row>
    <row r="33" spans="1:263" s="11" customFormat="1" ht="12.6" customHeight="1">
      <c r="A33" s="287">
        <v>2024</v>
      </c>
      <c r="B33" s="9">
        <v>43</v>
      </c>
      <c r="C33" s="10" t="s">
        <v>255</v>
      </c>
      <c r="D33" s="78">
        <f t="shared" si="10"/>
        <v>0</v>
      </c>
      <c r="E33" s="82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F33" s="82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G33" s="82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H33" s="82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I33" s="82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J33" s="82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K33" s="82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L33" s="82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M33" s="82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N33" s="82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O33" s="82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P33" s="82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Q33" s="82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R33" s="82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S33" s="82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T33" s="82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U33" s="82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V33" s="82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W33" s="82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  <c r="IV33" s="36"/>
      <c r="IW33" s="36"/>
      <c r="IX33" s="36"/>
      <c r="IY33" s="36"/>
      <c r="IZ33" s="36"/>
      <c r="JA33" s="36"/>
      <c r="JB33" s="36"/>
      <c r="JC33" s="36"/>
    </row>
    <row r="34" spans="1:263" s="11" customFormat="1" ht="12.6" customHeight="1">
      <c r="A34" s="287">
        <v>2024</v>
      </c>
      <c r="B34" s="9">
        <v>44</v>
      </c>
      <c r="C34" s="10" t="s">
        <v>256</v>
      </c>
      <c r="D34" s="78">
        <f t="shared" si="10"/>
        <v>0</v>
      </c>
      <c r="E34" s="82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F34" s="82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G34" s="82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H34" s="82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I34" s="82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J34" s="82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K34" s="82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L34" s="82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M34" s="82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N34" s="82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O34" s="82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P34" s="82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Q34" s="82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R34" s="82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S34" s="82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T34" s="82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U34" s="82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V34" s="82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W34" s="82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  <c r="IV34" s="36"/>
      <c r="IW34" s="36"/>
      <c r="IX34" s="36"/>
      <c r="IY34" s="36"/>
      <c r="IZ34" s="36"/>
      <c r="JA34" s="36"/>
      <c r="JB34" s="36"/>
      <c r="JC34" s="36"/>
    </row>
    <row r="35" spans="1:263" s="16" customFormat="1" ht="12.6" customHeight="1">
      <c r="A35" s="287">
        <v>2024</v>
      </c>
      <c r="B35" s="37">
        <v>45</v>
      </c>
      <c r="C35" s="13" t="s">
        <v>204</v>
      </c>
      <c r="D35" s="78">
        <f t="shared" si="10"/>
        <v>0</v>
      </c>
      <c r="E35" s="82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F35" s="82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G35" s="82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H35" s="82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I35" s="82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J35" s="82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K35" s="82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L35" s="82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M35" s="82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N35" s="82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O35" s="82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P35" s="82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Q35" s="82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R35" s="82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S35" s="82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T35" s="82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U35" s="82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V35" s="82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W35" s="82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8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8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9"/>
      <c r="GM35" s="39"/>
      <c r="GN35" s="39"/>
      <c r="GO35" s="39"/>
      <c r="GP35" s="39"/>
      <c r="GQ35" s="39"/>
      <c r="GR35" s="39"/>
      <c r="GS35" s="39"/>
      <c r="GT35" s="39"/>
      <c r="GU35" s="39"/>
      <c r="GV35" s="39"/>
      <c r="GW35" s="39"/>
      <c r="GX35" s="39"/>
      <c r="GY35" s="39"/>
      <c r="GZ35" s="39"/>
      <c r="HA35" s="39"/>
      <c r="HB35" s="39"/>
      <c r="HC35" s="39"/>
      <c r="HD35" s="39"/>
      <c r="HE35" s="39"/>
      <c r="HF35" s="39"/>
      <c r="HG35" s="39"/>
      <c r="HH35" s="39"/>
      <c r="HI35" s="39"/>
      <c r="HJ35" s="39"/>
      <c r="HK35" s="39"/>
      <c r="HL35" s="39"/>
      <c r="HM35" s="39"/>
      <c r="HN35" s="39"/>
      <c r="HO35" s="39"/>
      <c r="HP35" s="39"/>
      <c r="HQ35" s="39"/>
      <c r="HR35" s="39"/>
      <c r="HS35" s="39"/>
      <c r="HT35" s="39"/>
      <c r="HU35" s="39"/>
      <c r="HV35" s="39"/>
      <c r="HW35" s="39"/>
      <c r="HX35" s="39"/>
      <c r="HY35" s="39"/>
      <c r="HZ35" s="39"/>
      <c r="IA35" s="39"/>
      <c r="IB35" s="39"/>
      <c r="IC35" s="39"/>
      <c r="ID35" s="39"/>
      <c r="IE35" s="39"/>
      <c r="IF35" s="39"/>
      <c r="IG35" s="39"/>
      <c r="IH35" s="39"/>
      <c r="II35" s="39"/>
      <c r="IJ35" s="39"/>
      <c r="IK35" s="39"/>
      <c r="IL35" s="39"/>
      <c r="IM35" s="39"/>
      <c r="IN35" s="39"/>
      <c r="IO35" s="39"/>
      <c r="IP35" s="39"/>
      <c r="IQ35" s="39"/>
      <c r="IR35" s="39"/>
      <c r="IS35" s="39"/>
      <c r="IT35" s="39"/>
      <c r="IU35" s="39"/>
      <c r="IV35" s="39"/>
      <c r="IW35" s="39"/>
      <c r="IX35" s="39"/>
      <c r="IY35" s="39"/>
      <c r="IZ35" s="39"/>
      <c r="JA35" s="39"/>
      <c r="JB35" s="39"/>
      <c r="JC35" s="39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45" customHeight="1">
      <c r="A37" s="286" t="s">
        <v>1710</v>
      </c>
      <c r="B37" s="2" t="s">
        <v>195</v>
      </c>
      <c r="C37" s="2" t="s">
        <v>196</v>
      </c>
      <c r="D37" s="2" t="s">
        <v>3028</v>
      </c>
      <c r="E37" s="2" t="s">
        <v>37</v>
      </c>
      <c r="F37" s="2" t="s">
        <v>251</v>
      </c>
      <c r="G37" s="2" t="s">
        <v>16</v>
      </c>
      <c r="H37" s="2" t="s">
        <v>5120</v>
      </c>
      <c r="I37" s="2" t="s">
        <v>17</v>
      </c>
      <c r="J37" s="2" t="s">
        <v>240</v>
      </c>
      <c r="K37" s="2" t="s">
        <v>241</v>
      </c>
      <c r="L37" s="2" t="s">
        <v>1231</v>
      </c>
      <c r="M37" s="2" t="s">
        <v>242</v>
      </c>
      <c r="N37" s="2" t="s">
        <v>243</v>
      </c>
      <c r="O37" s="2" t="s">
        <v>244</v>
      </c>
      <c r="P37" s="2" t="s">
        <v>1232</v>
      </c>
      <c r="Q37" s="2" t="s">
        <v>5126</v>
      </c>
      <c r="R37" s="2" t="s">
        <v>5127</v>
      </c>
      <c r="S37" s="2" t="s">
        <v>3021</v>
      </c>
      <c r="T37" s="2" t="s">
        <v>245</v>
      </c>
      <c r="U37" s="2" t="s">
        <v>246</v>
      </c>
      <c r="V37" s="2" t="s">
        <v>1207</v>
      </c>
      <c r="W37" s="2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287">
        <v>2025</v>
      </c>
      <c r="B38" s="254">
        <v>2025</v>
      </c>
      <c r="C38" s="254" t="s">
        <v>259</v>
      </c>
      <c r="D38" s="66">
        <f t="shared" ref="D38:D52" si="17">SUM(E38:W38)</f>
        <v>9235800</v>
      </c>
      <c r="E38" s="67">
        <f>E39+E47</f>
        <v>7258335</v>
      </c>
      <c r="F38" s="67">
        <f t="shared" ref="F38:W38" si="18">F39+F47</f>
        <v>0</v>
      </c>
      <c r="G38" s="67">
        <f t="shared" si="18"/>
        <v>310374</v>
      </c>
      <c r="H38" s="67">
        <f t="shared" si="18"/>
        <v>0</v>
      </c>
      <c r="I38" s="67">
        <f t="shared" si="18"/>
        <v>1622410</v>
      </c>
      <c r="J38" s="67">
        <f t="shared" si="18"/>
        <v>9381</v>
      </c>
      <c r="K38" s="67">
        <f t="shared" si="18"/>
        <v>35300</v>
      </c>
      <c r="L38" s="67">
        <f t="shared" si="18"/>
        <v>0</v>
      </c>
      <c r="M38" s="67">
        <f t="shared" si="18"/>
        <v>0</v>
      </c>
      <c r="N38" s="67">
        <f t="shared" si="18"/>
        <v>0</v>
      </c>
      <c r="O38" s="67">
        <f t="shared" si="18"/>
        <v>0</v>
      </c>
      <c r="P38" s="67">
        <f t="shared" si="18"/>
        <v>0</v>
      </c>
      <c r="Q38" s="67">
        <f t="shared" si="18"/>
        <v>0</v>
      </c>
      <c r="R38" s="67">
        <f t="shared" si="18"/>
        <v>0</v>
      </c>
      <c r="S38" s="67">
        <f t="shared" si="18"/>
        <v>0</v>
      </c>
      <c r="T38" s="67">
        <f t="shared" si="18"/>
        <v>0</v>
      </c>
      <c r="U38" s="67">
        <f t="shared" si="18"/>
        <v>0</v>
      </c>
      <c r="V38" s="67">
        <f t="shared" si="18"/>
        <v>0</v>
      </c>
      <c r="W38" s="67">
        <f t="shared" si="18"/>
        <v>0</v>
      </c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34"/>
      <c r="AO38" s="34"/>
      <c r="AP38" s="34"/>
      <c r="AQ38" s="34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34"/>
      <c r="GM38" s="34"/>
      <c r="GN38" s="34"/>
      <c r="GO38" s="34"/>
      <c r="GP38" s="34"/>
      <c r="GQ38" s="34"/>
      <c r="GR38" s="34"/>
      <c r="GS38" s="34"/>
      <c r="GT38" s="34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4"/>
      <c r="HH38" s="34"/>
      <c r="HI38" s="34"/>
      <c r="HJ38" s="34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4"/>
      <c r="HX38" s="34"/>
      <c r="HY38" s="34"/>
      <c r="HZ38" s="34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  <c r="IL38" s="34"/>
      <c r="IM38" s="34"/>
      <c r="IN38" s="34"/>
      <c r="IO38" s="34"/>
      <c r="IP38" s="34"/>
      <c r="IQ38" s="34"/>
      <c r="IR38" s="34"/>
      <c r="IS38" s="34"/>
      <c r="IT38" s="34"/>
      <c r="IU38" s="34"/>
      <c r="IV38" s="34"/>
      <c r="IW38" s="34"/>
      <c r="IX38" s="34"/>
      <c r="IY38" s="34"/>
      <c r="IZ38" s="34"/>
      <c r="JA38" s="34"/>
      <c r="JB38" s="34"/>
      <c r="JC38" s="34"/>
    </row>
    <row r="39" spans="1:263" s="8" customFormat="1" ht="12.6" customHeight="1">
      <c r="A39" s="287">
        <v>2025</v>
      </c>
      <c r="B39" s="68">
        <v>3</v>
      </c>
      <c r="C39" s="69" t="s">
        <v>197</v>
      </c>
      <c r="D39" s="70">
        <f t="shared" si="17"/>
        <v>9086699</v>
      </c>
      <c r="E39" s="75">
        <f t="shared" ref="E39:G39" si="19">SUM(E40:E46)</f>
        <v>7239730</v>
      </c>
      <c r="F39" s="75">
        <f t="shared" si="19"/>
        <v>0</v>
      </c>
      <c r="G39" s="75">
        <f t="shared" si="19"/>
        <v>244068</v>
      </c>
      <c r="H39" s="75">
        <f>SUM(H40:H46)</f>
        <v>0</v>
      </c>
      <c r="I39" s="75">
        <f t="shared" ref="I39:K39" si="20">SUM(I40:I46)</f>
        <v>1558220</v>
      </c>
      <c r="J39" s="75">
        <f t="shared" si="20"/>
        <v>9381</v>
      </c>
      <c r="K39" s="75">
        <f t="shared" si="20"/>
        <v>35300</v>
      </c>
      <c r="L39" s="75">
        <f>SUM(L40:L46)</f>
        <v>0</v>
      </c>
      <c r="M39" s="75">
        <f t="shared" ref="M39:O39" si="21">SUM(M40:M46)</f>
        <v>0</v>
      </c>
      <c r="N39" s="75">
        <f t="shared" si="21"/>
        <v>0</v>
      </c>
      <c r="O39" s="75">
        <f t="shared" si="21"/>
        <v>0</v>
      </c>
      <c r="P39" s="75">
        <f>SUM(P40:P46)</f>
        <v>0</v>
      </c>
      <c r="Q39" s="75">
        <f>SUM(Q40:Q46)</f>
        <v>0</v>
      </c>
      <c r="R39" s="75">
        <f>SUM(R40:R46)</f>
        <v>0</v>
      </c>
      <c r="S39" s="75">
        <f>SUM(S40:S46)</f>
        <v>0</v>
      </c>
      <c r="T39" s="75">
        <f t="shared" ref="T39:W39" si="22">SUM(T40:T46)</f>
        <v>0</v>
      </c>
      <c r="U39" s="75">
        <f t="shared" si="22"/>
        <v>0</v>
      </c>
      <c r="V39" s="75">
        <f t="shared" si="22"/>
        <v>0</v>
      </c>
      <c r="W39" s="75">
        <f t="shared" si="22"/>
        <v>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" customHeight="1">
      <c r="A40" s="287">
        <v>2025</v>
      </c>
      <c r="B40" s="9">
        <v>31</v>
      </c>
      <c r="C40" s="10" t="s">
        <v>198</v>
      </c>
      <c r="D40" s="77">
        <f t="shared" si="17"/>
        <v>7405981</v>
      </c>
      <c r="E40" s="82">
        <f>SUMIFS('Unos rashoda i izdataka'!$L$3:$L$501,'Unos rashoda i izdataka'!$C$3:$C$501,"=11",'Unos rashoda i izdataka'!$P$3:$P$501,"=31")+SUMIFS('Unos rashoda P4'!$J$3:$J$501,'Unos rashoda P4'!$A$3:$A$501,"=11",'Unos rashoda P4'!$S$3:$S$501,"=31")</f>
        <v>6205986</v>
      </c>
      <c r="F40" s="82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G40" s="82">
        <f>SUMIFS('Unos rashoda i izdataka'!$L$3:$L$501,'Unos rashoda i izdataka'!$C$3:$C$501,"=31",'Unos rashoda i izdataka'!$P$3:$P$501,"=31")+SUMIFS('Unos rashoda P4'!$J$3:$J$501,'Unos rashoda P4'!$A$3:$A$501,"=31",'Unos rashoda P4'!$S$3:$S$501,"=31")</f>
        <v>94629</v>
      </c>
      <c r="H40" s="82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I40" s="82">
        <f>SUMIFS('Unos rashoda i izdataka'!$L$3:$L$501,'Unos rashoda i izdataka'!$C$3:$C$501,"=43",'Unos rashoda i izdataka'!$P$3:$P$501,"=31")+SUMIFS('Unos rashoda P4'!$J$3:$J$501,'Unos rashoda P4'!$A$3:$A$501,"=43",'Unos rashoda P4'!$S$3:$S$501,"=31")</f>
        <v>1080596</v>
      </c>
      <c r="J40" s="82">
        <f>SUMIFS('Unos rashoda i izdataka'!$L$3:$L$501,'Unos rashoda i izdataka'!$C$3:$C$501,"=51",'Unos rashoda i izdataka'!$P$3:$P$501,"=31")+SUMIFS('Unos rashoda P4'!$J$3:$J$501,'Unos rashoda P4'!$A$3:$A$501,"=51",'Unos rashoda P4'!$S$3:$S$501,"=31")</f>
        <v>3471</v>
      </c>
      <c r="K40" s="82">
        <f>SUMIFS('Unos rashoda i izdataka'!$L$3:$L$501,'Unos rashoda i izdataka'!$C$3:$C$501,"=52",'Unos rashoda i izdataka'!$P$3:$P$501,"=31")+SUMIFS('Unos rashoda P4'!$J$3:$J$501,'Unos rashoda P4'!$A$3:$A$501,"=52",'Unos rashoda P4'!$S$3:$S$501,"=31")</f>
        <v>21299</v>
      </c>
      <c r="L40" s="82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M40" s="82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N40" s="82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O40" s="82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P40" s="82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Q40" s="82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R40" s="82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S40" s="82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T40" s="82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U40" s="82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V40" s="82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W40" s="82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/>
      <c r="EA40" s="38"/>
      <c r="EB40" s="38"/>
      <c r="EC40" s="38"/>
      <c r="ED40" s="38"/>
      <c r="EE40" s="38"/>
      <c r="EF40" s="38"/>
      <c r="EG40" s="38"/>
      <c r="EH40" s="38"/>
      <c r="EI40" s="38"/>
      <c r="EJ40" s="38"/>
      <c r="EK40" s="38"/>
      <c r="EL40" s="38"/>
      <c r="EM40" s="38"/>
      <c r="EN40" s="38"/>
      <c r="EO40" s="38"/>
      <c r="EP40" s="38"/>
      <c r="EQ40" s="38"/>
      <c r="ER40" s="38"/>
      <c r="ES40" s="38"/>
      <c r="ET40" s="38"/>
      <c r="EU40" s="38"/>
      <c r="EV40" s="38"/>
      <c r="EW40" s="38"/>
      <c r="EX40" s="38"/>
      <c r="EY40" s="38"/>
      <c r="EZ40" s="38"/>
      <c r="FA40" s="38"/>
      <c r="FB40" s="38"/>
      <c r="FC40" s="38"/>
      <c r="FD40" s="38"/>
      <c r="FE40" s="38"/>
      <c r="FF40" s="38"/>
      <c r="FG40" s="38"/>
      <c r="FH40" s="38"/>
      <c r="FI40" s="38"/>
      <c r="FJ40" s="38"/>
      <c r="FK40" s="38"/>
      <c r="FL40" s="38"/>
      <c r="FM40" s="38"/>
      <c r="FN40" s="38"/>
      <c r="FO40" s="38"/>
      <c r="FP40" s="38"/>
      <c r="FQ40" s="38"/>
      <c r="FR40" s="38"/>
      <c r="FS40" s="38"/>
      <c r="FT40" s="38"/>
      <c r="FU40" s="38"/>
      <c r="FV40" s="38"/>
      <c r="FW40" s="38"/>
      <c r="FX40" s="38"/>
      <c r="FY40" s="38"/>
      <c r="FZ40" s="38"/>
      <c r="GA40" s="38"/>
      <c r="GB40" s="38"/>
      <c r="GC40" s="38"/>
      <c r="GD40" s="38"/>
      <c r="GE40" s="38"/>
      <c r="GF40" s="38"/>
      <c r="GG40" s="38"/>
      <c r="GH40" s="38"/>
      <c r="GI40" s="38"/>
      <c r="GJ40" s="38"/>
      <c r="GK40" s="38"/>
      <c r="GL40" s="39"/>
      <c r="GM40" s="39"/>
      <c r="GN40" s="39"/>
      <c r="GO40" s="39"/>
      <c r="GP40" s="39"/>
      <c r="GQ40" s="39"/>
      <c r="GR40" s="39"/>
      <c r="GS40" s="39"/>
      <c r="GT40" s="39"/>
      <c r="GU40" s="39"/>
      <c r="GV40" s="39"/>
      <c r="GW40" s="39"/>
      <c r="GX40" s="39"/>
      <c r="GY40" s="39"/>
      <c r="GZ40" s="39"/>
      <c r="HA40" s="39"/>
      <c r="HB40" s="39"/>
      <c r="HC40" s="39"/>
      <c r="HD40" s="39"/>
      <c r="HE40" s="39"/>
      <c r="HF40" s="39"/>
      <c r="HG40" s="39"/>
      <c r="HH40" s="39"/>
      <c r="HI40" s="39"/>
      <c r="HJ40" s="39"/>
      <c r="HK40" s="39"/>
      <c r="HL40" s="39"/>
      <c r="HM40" s="39"/>
      <c r="HN40" s="39"/>
      <c r="HO40" s="39"/>
      <c r="HP40" s="39"/>
      <c r="HQ40" s="39"/>
      <c r="HR40" s="39"/>
      <c r="HS40" s="39"/>
      <c r="HT40" s="39"/>
      <c r="HU40" s="39"/>
      <c r="HV40" s="39"/>
      <c r="HW40" s="39"/>
      <c r="HX40" s="39"/>
      <c r="HY40" s="39"/>
      <c r="HZ40" s="39"/>
      <c r="IA40" s="39"/>
      <c r="IB40" s="39"/>
      <c r="IC40" s="39"/>
      <c r="ID40" s="39"/>
      <c r="IE40" s="39"/>
      <c r="IF40" s="39"/>
      <c r="IG40" s="39"/>
      <c r="IH40" s="39"/>
      <c r="II40" s="39"/>
      <c r="IJ40" s="39"/>
      <c r="IK40" s="39"/>
      <c r="IL40" s="39"/>
      <c r="IM40" s="39"/>
      <c r="IN40" s="39"/>
      <c r="IO40" s="39"/>
      <c r="IP40" s="39"/>
      <c r="IQ40" s="39"/>
      <c r="IR40" s="39"/>
      <c r="IS40" s="39"/>
      <c r="IT40" s="39"/>
      <c r="IU40" s="39"/>
      <c r="IV40" s="39"/>
      <c r="IW40" s="39"/>
      <c r="IX40" s="39"/>
      <c r="IY40" s="39"/>
      <c r="IZ40" s="39"/>
      <c r="JA40" s="39"/>
      <c r="JB40" s="39"/>
      <c r="JC40" s="39"/>
    </row>
    <row r="41" spans="1:263" s="38" customFormat="1" ht="12.6" customHeight="1">
      <c r="A41" s="287">
        <v>2025</v>
      </c>
      <c r="B41" s="37">
        <v>32</v>
      </c>
      <c r="C41" s="13" t="s">
        <v>199</v>
      </c>
      <c r="D41" s="78">
        <f t="shared" si="17"/>
        <v>1641739</v>
      </c>
      <c r="E41" s="82">
        <f>SUMIFS('Unos rashoda i izdataka'!$L$3:$L$501,'Unos rashoda i izdataka'!$C$3:$C$501,"=11",'Unos rashoda i izdataka'!$P$3:$P$501,"=32")+SUMIFS('Unos rashoda P4'!$J$3:$J$501,'Unos rashoda P4'!$A$3:$A$501,"=11",'Unos rashoda P4'!$S$3:$S$501,"=32")</f>
        <v>1019069</v>
      </c>
      <c r="F41" s="82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G41" s="82">
        <f>SUMIFS('Unos rashoda i izdataka'!$L$3:$L$501,'Unos rashoda i izdataka'!$C$3:$C$501,"=31",'Unos rashoda i izdataka'!$P$3:$P$501,"=32")+SUMIFS('Unos rashoda P4'!$J$3:$J$501,'Unos rashoda P4'!$A$3:$A$501,"=31",'Unos rashoda P4'!$S$3:$S$501,"=32")</f>
        <v>147168</v>
      </c>
      <c r="H41" s="82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I41" s="82">
        <f>SUMIFS('Unos rashoda i izdataka'!$L$3:$L$501,'Unos rashoda i izdataka'!$C$3:$C$501,"=43",'Unos rashoda i izdataka'!$P$3:$P$501,"=32")+SUMIFS('Unos rashoda P4'!$J$3:$J$501,'Unos rashoda P4'!$A$3:$A$501,"=43",'Unos rashoda P4'!$S$3:$S$501,"=32")</f>
        <v>455625</v>
      </c>
      <c r="J41" s="82">
        <f>SUMIFS('Unos rashoda i izdataka'!$L$3:$L$501,'Unos rashoda i izdataka'!$C$3:$C$501,"=51",'Unos rashoda i izdataka'!$P$3:$P$501,"=32")+SUMIFS('Unos rashoda P4'!$J$3:$J$501,'Unos rashoda P4'!$A$3:$A$501,"=51",'Unos rashoda P4'!$S$3:$S$501,"=32")</f>
        <v>5876</v>
      </c>
      <c r="K41" s="82">
        <f>SUMIFS('Unos rashoda i izdataka'!$L$3:$L$501,'Unos rashoda i izdataka'!$C$3:$C$501,"=52",'Unos rashoda i izdataka'!$P$3:$P$501,"=32")+SUMIFS('Unos rashoda P4'!$J$3:$J$501,'Unos rashoda P4'!$A$3:$A$501,"=52",'Unos rashoda P4'!$S$3:$S$501,"=32")</f>
        <v>14001</v>
      </c>
      <c r="L41" s="82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M41" s="82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N41" s="82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O41" s="82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P41" s="82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Q41" s="82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R41" s="82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S41" s="82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T41" s="82">
        <f>SUMIFS('Unos rashoda i izdataka'!$L$3:$L$501,'Unos rashoda i izdataka'!$C$3:$C$501,"=61",'Unos rashoda i izdataka'!$P$3:$P$501,"=32")+SUMIFS('Unos rashoda P4'!$J$3:$J$501,'Unos rashoda P4'!$A$3:$A$501,"=61",'Unos rashoda P4'!$S$3:$S$501,"=32")</f>
        <v>0</v>
      </c>
      <c r="U41" s="82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V41" s="82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W41" s="82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L41" s="39"/>
      <c r="GM41" s="39"/>
      <c r="GN41" s="39"/>
      <c r="GO41" s="39"/>
      <c r="GP41" s="39"/>
      <c r="GQ41" s="39"/>
      <c r="GR41" s="39"/>
      <c r="GS41" s="39"/>
      <c r="GT41" s="39"/>
      <c r="GU41" s="39"/>
      <c r="GV41" s="39"/>
      <c r="GW41" s="39"/>
      <c r="GX41" s="39"/>
      <c r="GY41" s="39"/>
      <c r="GZ41" s="39"/>
      <c r="HA41" s="39"/>
      <c r="HB41" s="39"/>
      <c r="HC41" s="39"/>
      <c r="HD41" s="39"/>
      <c r="HE41" s="39"/>
      <c r="HF41" s="39"/>
      <c r="HG41" s="39"/>
      <c r="HH41" s="39"/>
      <c r="HI41" s="39"/>
      <c r="HJ41" s="39"/>
      <c r="HK41" s="39"/>
      <c r="HL41" s="39"/>
      <c r="HM41" s="39"/>
      <c r="HN41" s="39"/>
      <c r="HO41" s="39"/>
      <c r="HP41" s="39"/>
      <c r="HQ41" s="39"/>
      <c r="HR41" s="39"/>
      <c r="HS41" s="39"/>
      <c r="HT41" s="39"/>
      <c r="HU41" s="39"/>
      <c r="HV41" s="39"/>
      <c r="HW41" s="39"/>
      <c r="HX41" s="39"/>
      <c r="HY41" s="39"/>
      <c r="HZ41" s="39"/>
      <c r="IA41" s="39"/>
      <c r="IB41" s="39"/>
      <c r="IC41" s="39"/>
      <c r="ID41" s="39"/>
      <c r="IE41" s="39"/>
      <c r="IF41" s="39"/>
      <c r="IG41" s="39"/>
      <c r="IH41" s="39"/>
      <c r="II41" s="39"/>
      <c r="IJ41" s="39"/>
      <c r="IK41" s="39"/>
      <c r="IL41" s="39"/>
      <c r="IM41" s="39"/>
      <c r="IN41" s="39"/>
      <c r="IO41" s="39"/>
      <c r="IP41" s="39"/>
      <c r="IQ41" s="39"/>
      <c r="IR41" s="39"/>
      <c r="IS41" s="39"/>
      <c r="IT41" s="39"/>
      <c r="IU41" s="39"/>
      <c r="IV41" s="39"/>
      <c r="IW41" s="39"/>
      <c r="IX41" s="39"/>
      <c r="IY41" s="39"/>
      <c r="IZ41" s="39"/>
      <c r="JA41" s="39"/>
      <c r="JB41" s="39"/>
      <c r="JC41" s="39"/>
    </row>
    <row r="42" spans="1:263" s="14" customFormat="1" ht="12.6" customHeight="1">
      <c r="A42" s="287">
        <v>2025</v>
      </c>
      <c r="B42" s="37">
        <v>34</v>
      </c>
      <c r="C42" s="13" t="s">
        <v>200</v>
      </c>
      <c r="D42" s="78">
        <f t="shared" si="17"/>
        <v>20202</v>
      </c>
      <c r="E42" s="82">
        <f>SUMIFS('Unos rashoda i izdataka'!$L$3:$L$501,'Unos rashoda i izdataka'!$C$3:$C$501,"=11",'Unos rashoda i izdataka'!$P$3:$P$501,"=34")+SUMIFS('Unos rashoda P4'!$J$3:$J$501,'Unos rashoda P4'!$A$3:$A$501,"=11",'Unos rashoda P4'!$S$3:$S$501,"=34")</f>
        <v>3649</v>
      </c>
      <c r="F42" s="82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G42" s="82">
        <f>SUMIFS('Unos rashoda i izdataka'!$L$3:$L$501,'Unos rashoda i izdataka'!$C$3:$C$501,"=31",'Unos rashoda i izdataka'!$P$3:$P$501,"=34")+SUMIFS('Unos rashoda P4'!$J$3:$J$501,'Unos rashoda P4'!$A$3:$A$501,"=31",'Unos rashoda P4'!$S$3:$S$501,"=34")</f>
        <v>2271</v>
      </c>
      <c r="H42" s="82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I42" s="82">
        <f>SUMIFS('Unos rashoda i izdataka'!$L$3:$L$501,'Unos rashoda i izdataka'!$C$3:$C$501,"=43",'Unos rashoda i izdataka'!$P$3:$P$501,"=34")+SUMIFS('Unos rashoda P4'!$J$3:$J$501,'Unos rashoda P4'!$A$3:$A$501,"=43",'Unos rashoda P4'!$S$3:$S$501,"=34")</f>
        <v>14248</v>
      </c>
      <c r="J42" s="82">
        <f>SUMIFS('Unos rashoda i izdataka'!$L$3:$L$501,'Unos rashoda i izdataka'!$C$3:$C$501,"=51",'Unos rashoda i izdataka'!$P$3:$P$501,"=34")+SUMIFS('Unos rashoda P4'!$J$3:$J$501,'Unos rashoda P4'!$A$3:$A$501,"=51",'Unos rashoda P4'!$S$3:$S$501,"=34")</f>
        <v>34</v>
      </c>
      <c r="K42" s="82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L42" s="82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M42" s="82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N42" s="82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O42" s="82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P42" s="82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Q42" s="82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R42" s="82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S42" s="82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T42" s="82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U42" s="82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V42" s="82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W42" s="82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8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8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9"/>
      <c r="GM42" s="39"/>
      <c r="GN42" s="39"/>
      <c r="GO42" s="39"/>
      <c r="GP42" s="39"/>
      <c r="GQ42" s="39"/>
      <c r="GR42" s="39"/>
      <c r="GS42" s="39"/>
      <c r="GT42" s="39"/>
      <c r="GU42" s="39"/>
      <c r="GV42" s="39"/>
      <c r="GW42" s="39"/>
      <c r="GX42" s="39"/>
      <c r="GY42" s="39"/>
      <c r="GZ42" s="39"/>
      <c r="HA42" s="39"/>
      <c r="HB42" s="39"/>
      <c r="HC42" s="39"/>
      <c r="HD42" s="39"/>
      <c r="HE42" s="39"/>
      <c r="HF42" s="39"/>
      <c r="HG42" s="39"/>
      <c r="HH42" s="39"/>
      <c r="HI42" s="39"/>
      <c r="HJ42" s="39"/>
      <c r="HK42" s="39"/>
      <c r="HL42" s="39"/>
      <c r="HM42" s="39"/>
      <c r="HN42" s="39"/>
      <c r="HO42" s="39"/>
      <c r="HP42" s="39"/>
      <c r="HQ42" s="39"/>
      <c r="HR42" s="39"/>
      <c r="HS42" s="39"/>
      <c r="HT42" s="39"/>
      <c r="HU42" s="39"/>
      <c r="HV42" s="39"/>
      <c r="HW42" s="39"/>
      <c r="HX42" s="39"/>
      <c r="HY42" s="39"/>
      <c r="HZ42" s="39"/>
      <c r="IA42" s="39"/>
      <c r="IB42" s="39"/>
      <c r="IC42" s="39"/>
      <c r="ID42" s="39"/>
      <c r="IE42" s="39"/>
      <c r="IF42" s="39"/>
      <c r="IG42" s="39"/>
      <c r="IH42" s="39"/>
      <c r="II42" s="39"/>
      <c r="IJ42" s="39"/>
      <c r="IK42" s="39"/>
      <c r="IL42" s="39"/>
      <c r="IM42" s="39"/>
      <c r="IN42" s="39"/>
      <c r="IO42" s="39"/>
      <c r="IP42" s="39"/>
      <c r="IQ42" s="39"/>
      <c r="IR42" s="39"/>
      <c r="IS42" s="39"/>
      <c r="IT42" s="39"/>
      <c r="IU42" s="39"/>
      <c r="IV42" s="39"/>
      <c r="IW42" s="39"/>
      <c r="IX42" s="39"/>
      <c r="IY42" s="39"/>
      <c r="IZ42" s="39"/>
      <c r="JA42" s="39"/>
      <c r="JB42" s="39"/>
      <c r="JC42" s="39"/>
    </row>
    <row r="43" spans="1:263" s="38" customFormat="1" ht="12.6" customHeight="1">
      <c r="A43" s="287">
        <v>2025</v>
      </c>
      <c r="B43" s="37">
        <v>35</v>
      </c>
      <c r="C43" s="13" t="s">
        <v>252</v>
      </c>
      <c r="D43" s="78">
        <f t="shared" si="17"/>
        <v>0</v>
      </c>
      <c r="E43" s="82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F43" s="82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G43" s="82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H43" s="82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I43" s="82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J43" s="82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K43" s="82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L43" s="82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M43" s="82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N43" s="82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O43" s="82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P43" s="82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Q43" s="82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R43" s="82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S43" s="82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T43" s="82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U43" s="82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V43" s="82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W43" s="82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L43" s="39"/>
      <c r="GM43" s="39"/>
      <c r="GN43" s="39"/>
      <c r="GO43" s="39"/>
      <c r="GP43" s="39"/>
      <c r="GQ43" s="39"/>
      <c r="GR43" s="39"/>
      <c r="GS43" s="39"/>
      <c r="GT43" s="39"/>
      <c r="GU43" s="39"/>
      <c r="GV43" s="39"/>
      <c r="GW43" s="39"/>
      <c r="GX43" s="39"/>
      <c r="GY43" s="39"/>
      <c r="GZ43" s="39"/>
      <c r="HA43" s="39"/>
      <c r="HB43" s="39"/>
      <c r="HC43" s="39"/>
      <c r="HD43" s="39"/>
      <c r="HE43" s="39"/>
      <c r="HF43" s="39"/>
      <c r="HG43" s="39"/>
      <c r="HH43" s="39"/>
      <c r="HI43" s="39"/>
      <c r="HJ43" s="39"/>
      <c r="HK43" s="39"/>
      <c r="HL43" s="39"/>
      <c r="HM43" s="39"/>
      <c r="HN43" s="39"/>
      <c r="HO43" s="39"/>
      <c r="HP43" s="39"/>
      <c r="HQ43" s="39"/>
      <c r="HR43" s="39"/>
      <c r="HS43" s="39"/>
      <c r="HT43" s="39"/>
      <c r="HU43" s="39"/>
      <c r="HV43" s="39"/>
      <c r="HW43" s="39"/>
      <c r="HX43" s="39"/>
      <c r="HY43" s="39"/>
      <c r="HZ43" s="39"/>
      <c r="IA43" s="39"/>
      <c r="IB43" s="39"/>
      <c r="IC43" s="39"/>
      <c r="ID43" s="39"/>
      <c r="IE43" s="39"/>
      <c r="IF43" s="39"/>
      <c r="IG43" s="39"/>
      <c r="IH43" s="39"/>
      <c r="II43" s="39"/>
      <c r="IJ43" s="39"/>
      <c r="IK43" s="39"/>
      <c r="IL43" s="39"/>
      <c r="IM43" s="39"/>
      <c r="IN43" s="39"/>
      <c r="IO43" s="39"/>
      <c r="IP43" s="39"/>
      <c r="IQ43" s="39"/>
      <c r="IR43" s="39"/>
      <c r="IS43" s="39"/>
      <c r="IT43" s="39"/>
      <c r="IU43" s="39"/>
      <c r="IV43" s="39"/>
      <c r="IW43" s="39"/>
      <c r="IX43" s="39"/>
      <c r="IY43" s="39"/>
      <c r="IZ43" s="39"/>
      <c r="JA43" s="39"/>
      <c r="JB43" s="39"/>
      <c r="JC43" s="39"/>
    </row>
    <row r="44" spans="1:263" s="38" customFormat="1" ht="12.6" customHeight="1">
      <c r="A44" s="287">
        <v>2025</v>
      </c>
      <c r="B44" s="37">
        <v>36</v>
      </c>
      <c r="C44" s="15" t="s">
        <v>201</v>
      </c>
      <c r="D44" s="78">
        <f t="shared" si="17"/>
        <v>0</v>
      </c>
      <c r="E44" s="82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F44" s="82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G44" s="82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H44" s="82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I44" s="82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J44" s="82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K44" s="82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L44" s="82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M44" s="82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N44" s="82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O44" s="82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P44" s="82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Q44" s="82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R44" s="82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S44" s="82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T44" s="82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U44" s="82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V44" s="82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W44" s="82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L44" s="39"/>
      <c r="GM44" s="39"/>
      <c r="GN44" s="39"/>
      <c r="GO44" s="39"/>
      <c r="GP44" s="39"/>
      <c r="GQ44" s="39"/>
      <c r="GR44" s="39"/>
      <c r="GS44" s="39"/>
      <c r="GT44" s="39"/>
      <c r="GU44" s="39"/>
      <c r="GV44" s="39"/>
      <c r="GW44" s="39"/>
      <c r="GX44" s="39"/>
      <c r="GY44" s="39"/>
      <c r="GZ44" s="39"/>
      <c r="HA44" s="39"/>
      <c r="HB44" s="39"/>
      <c r="HC44" s="39"/>
      <c r="HD44" s="39"/>
      <c r="HE44" s="39"/>
      <c r="HF44" s="39"/>
      <c r="HG44" s="39"/>
      <c r="HH44" s="39"/>
      <c r="HI44" s="39"/>
      <c r="HJ44" s="39"/>
      <c r="HK44" s="39"/>
      <c r="HL44" s="39"/>
      <c r="HM44" s="39"/>
      <c r="HN44" s="39"/>
      <c r="HO44" s="39"/>
      <c r="HP44" s="39"/>
      <c r="HQ44" s="39"/>
      <c r="HR44" s="39"/>
      <c r="HS44" s="39"/>
      <c r="HT44" s="39"/>
      <c r="HU44" s="39"/>
      <c r="HV44" s="39"/>
      <c r="HW44" s="39"/>
      <c r="HX44" s="39"/>
      <c r="HY44" s="39"/>
      <c r="HZ44" s="39"/>
      <c r="IA44" s="39"/>
      <c r="IB44" s="39"/>
      <c r="IC44" s="39"/>
      <c r="ID44" s="39"/>
      <c r="IE44" s="39"/>
      <c r="IF44" s="39"/>
      <c r="IG44" s="39"/>
      <c r="IH44" s="39"/>
      <c r="II44" s="39"/>
      <c r="IJ44" s="39"/>
      <c r="IK44" s="39"/>
      <c r="IL44" s="39"/>
      <c r="IM44" s="39"/>
      <c r="IN44" s="39"/>
      <c r="IO44" s="39"/>
      <c r="IP44" s="39"/>
      <c r="IQ44" s="39"/>
      <c r="IR44" s="39"/>
      <c r="IS44" s="39"/>
      <c r="IT44" s="39"/>
      <c r="IU44" s="39"/>
      <c r="IV44" s="39"/>
      <c r="IW44" s="39"/>
      <c r="IX44" s="39"/>
      <c r="IY44" s="39"/>
      <c r="IZ44" s="39"/>
      <c r="JA44" s="39"/>
      <c r="JB44" s="39"/>
      <c r="JC44" s="39"/>
    </row>
    <row r="45" spans="1:263" s="16" customFormat="1" ht="12.6" customHeight="1">
      <c r="A45" s="287">
        <v>2025</v>
      </c>
      <c r="B45" s="37">
        <v>37</v>
      </c>
      <c r="C45" s="13" t="s">
        <v>253</v>
      </c>
      <c r="D45" s="78">
        <f t="shared" si="17"/>
        <v>18777</v>
      </c>
      <c r="E45" s="82">
        <f>SUMIFS('Unos rashoda i izdataka'!$L$3:$L$501,'Unos rashoda i izdataka'!$C$3:$C$501,"=11",'Unos rashoda i izdataka'!$P$3:$P$501,"=37")+SUMIFS('Unos rashoda P4'!$J$3:$J$501,'Unos rashoda P4'!$A$3:$A$501,"=11",'Unos rashoda P4'!$S$3:$S$501,"=37")</f>
        <v>11026</v>
      </c>
      <c r="F45" s="82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G45" s="82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H45" s="82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I45" s="82">
        <f>SUMIFS('Unos rashoda i izdataka'!$L$3:$L$501,'Unos rashoda i izdataka'!$C$3:$C$501,"=43",'Unos rashoda i izdataka'!$P$3:$P$501,"=37")+SUMIFS('Unos rashoda P4'!$J$3:$J$501,'Unos rashoda P4'!$A$3:$A$501,"=43",'Unos rashoda P4'!$S$3:$S$501,"=37")</f>
        <v>7751</v>
      </c>
      <c r="J45" s="82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K45" s="82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L45" s="82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M45" s="82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N45" s="82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O45" s="82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P45" s="82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Q45" s="82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R45" s="82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S45" s="82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T45" s="82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U45" s="82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V45" s="82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W45" s="82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9"/>
      <c r="GM45" s="39"/>
      <c r="GN45" s="39"/>
      <c r="GO45" s="39"/>
      <c r="GP45" s="39"/>
      <c r="GQ45" s="39"/>
      <c r="GR45" s="39"/>
      <c r="GS45" s="39"/>
      <c r="GT45" s="39"/>
      <c r="GU45" s="39"/>
      <c r="GV45" s="39"/>
      <c r="GW45" s="39"/>
      <c r="GX45" s="39"/>
      <c r="GY45" s="39"/>
      <c r="GZ45" s="39"/>
      <c r="HA45" s="39"/>
      <c r="HB45" s="39"/>
      <c r="HC45" s="39"/>
      <c r="HD45" s="39"/>
      <c r="HE45" s="39"/>
      <c r="HF45" s="39"/>
      <c r="HG45" s="39"/>
      <c r="HH45" s="39"/>
      <c r="HI45" s="39"/>
      <c r="HJ45" s="39"/>
      <c r="HK45" s="39"/>
      <c r="HL45" s="39"/>
      <c r="HM45" s="39"/>
      <c r="HN45" s="39"/>
      <c r="HO45" s="39"/>
      <c r="HP45" s="39"/>
      <c r="HQ45" s="39"/>
      <c r="HR45" s="39"/>
      <c r="HS45" s="39"/>
      <c r="HT45" s="39"/>
      <c r="HU45" s="39"/>
      <c r="HV45" s="39"/>
      <c r="HW45" s="39"/>
      <c r="HX45" s="39"/>
      <c r="HY45" s="39"/>
      <c r="HZ45" s="39"/>
      <c r="IA45" s="39"/>
      <c r="IB45" s="39"/>
      <c r="IC45" s="39"/>
      <c r="ID45" s="39"/>
      <c r="IE45" s="39"/>
      <c r="IF45" s="39"/>
      <c r="IG45" s="39"/>
      <c r="IH45" s="39"/>
      <c r="II45" s="39"/>
      <c r="IJ45" s="39"/>
      <c r="IK45" s="39"/>
      <c r="IL45" s="39"/>
      <c r="IM45" s="39"/>
      <c r="IN45" s="39"/>
      <c r="IO45" s="39"/>
      <c r="IP45" s="39"/>
      <c r="IQ45" s="39"/>
      <c r="IR45" s="39"/>
      <c r="IS45" s="39"/>
      <c r="IT45" s="39"/>
      <c r="IU45" s="39"/>
      <c r="IV45" s="39"/>
      <c r="IW45" s="39"/>
      <c r="IX45" s="39"/>
      <c r="IY45" s="39"/>
      <c r="IZ45" s="39"/>
      <c r="JA45" s="39"/>
      <c r="JB45" s="39"/>
      <c r="JC45" s="39"/>
    </row>
    <row r="46" spans="1:263" s="16" customFormat="1" ht="12.6" customHeight="1">
      <c r="A46" s="287">
        <v>2025</v>
      </c>
      <c r="B46" s="37">
        <v>38</v>
      </c>
      <c r="C46" s="13" t="s">
        <v>202</v>
      </c>
      <c r="D46" s="78">
        <f t="shared" si="17"/>
        <v>0</v>
      </c>
      <c r="E46" s="82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F46" s="82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G46" s="82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H46" s="82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I46" s="82">
        <f>SUMIFS('Unos rashoda i izdataka'!$L$3:$L$501,'Unos rashoda i izdataka'!$C$3:$C$501,"=43",'Unos rashoda i izdataka'!$P$3:$P$501,"=38")+SUMIFS('Unos rashoda P4'!$J$3:$J$501,'Unos rashoda P4'!$A$3:$A$501,"=43",'Unos rashoda P4'!$S$3:$S$501,"=38")</f>
        <v>0</v>
      </c>
      <c r="J46" s="82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K46" s="82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L46" s="82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M46" s="82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N46" s="82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O46" s="82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P46" s="82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Q46" s="82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R46" s="82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S46" s="82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T46" s="82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U46" s="82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V46" s="82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W46" s="82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8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8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8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9"/>
      <c r="GM46" s="39"/>
      <c r="GN46" s="39"/>
      <c r="GO46" s="39"/>
      <c r="GP46" s="39"/>
      <c r="GQ46" s="39"/>
      <c r="GR46" s="39"/>
      <c r="GS46" s="39"/>
      <c r="GT46" s="39"/>
      <c r="GU46" s="39"/>
      <c r="GV46" s="39"/>
      <c r="GW46" s="39"/>
      <c r="GX46" s="39"/>
      <c r="GY46" s="39"/>
      <c r="GZ46" s="39"/>
      <c r="HA46" s="39"/>
      <c r="HB46" s="39"/>
      <c r="HC46" s="39"/>
      <c r="HD46" s="39"/>
      <c r="HE46" s="39"/>
      <c r="HF46" s="39"/>
      <c r="HG46" s="39"/>
      <c r="HH46" s="39"/>
      <c r="HI46" s="39"/>
      <c r="HJ46" s="39"/>
      <c r="HK46" s="39"/>
      <c r="HL46" s="39"/>
      <c r="HM46" s="39"/>
      <c r="HN46" s="39"/>
      <c r="HO46" s="39"/>
      <c r="HP46" s="39"/>
      <c r="HQ46" s="39"/>
      <c r="HR46" s="39"/>
      <c r="HS46" s="39"/>
      <c r="HT46" s="39"/>
      <c r="HU46" s="39"/>
      <c r="HV46" s="39"/>
      <c r="HW46" s="39"/>
      <c r="HX46" s="39"/>
      <c r="HY46" s="39"/>
      <c r="HZ46" s="39"/>
      <c r="IA46" s="39"/>
      <c r="IB46" s="39"/>
      <c r="IC46" s="39"/>
      <c r="ID46" s="39"/>
      <c r="IE46" s="39"/>
      <c r="IF46" s="39"/>
      <c r="IG46" s="39"/>
      <c r="IH46" s="39"/>
      <c r="II46" s="39"/>
      <c r="IJ46" s="39"/>
      <c r="IK46" s="39"/>
      <c r="IL46" s="39"/>
      <c r="IM46" s="39"/>
      <c r="IN46" s="39"/>
      <c r="IO46" s="39"/>
      <c r="IP46" s="39"/>
      <c r="IQ46" s="39"/>
      <c r="IR46" s="39"/>
      <c r="IS46" s="39"/>
      <c r="IT46" s="39"/>
      <c r="IU46" s="39"/>
      <c r="IV46" s="39"/>
      <c r="IW46" s="39"/>
      <c r="IX46" s="39"/>
      <c r="IY46" s="39"/>
      <c r="IZ46" s="39"/>
      <c r="JA46" s="39"/>
      <c r="JB46" s="39"/>
      <c r="JC46" s="39"/>
    </row>
    <row r="47" spans="1:263" s="17" customFormat="1" ht="12.6" customHeight="1">
      <c r="A47" s="287">
        <v>2025</v>
      </c>
      <c r="B47" s="73">
        <v>4</v>
      </c>
      <c r="C47" s="74" t="s">
        <v>203</v>
      </c>
      <c r="D47" s="72">
        <f t="shared" si="17"/>
        <v>149101</v>
      </c>
      <c r="E47" s="76">
        <f t="shared" ref="E47:G47" si="23">SUM(E48:E52)</f>
        <v>18605</v>
      </c>
      <c r="F47" s="76">
        <f t="shared" si="23"/>
        <v>0</v>
      </c>
      <c r="G47" s="76">
        <f t="shared" si="23"/>
        <v>66306</v>
      </c>
      <c r="H47" s="76">
        <f>SUM(H48:H52)</f>
        <v>0</v>
      </c>
      <c r="I47" s="76">
        <f t="shared" ref="I47:K47" si="24">SUM(I48:I52)</f>
        <v>64190</v>
      </c>
      <c r="J47" s="76">
        <f t="shared" si="24"/>
        <v>0</v>
      </c>
      <c r="K47" s="76">
        <f t="shared" si="24"/>
        <v>0</v>
      </c>
      <c r="L47" s="76">
        <f>SUM(L48:L52)</f>
        <v>0</v>
      </c>
      <c r="M47" s="76">
        <f t="shared" ref="M47:O47" si="25">SUM(M48:M52)</f>
        <v>0</v>
      </c>
      <c r="N47" s="76">
        <f t="shared" si="25"/>
        <v>0</v>
      </c>
      <c r="O47" s="76">
        <f t="shared" si="25"/>
        <v>0</v>
      </c>
      <c r="P47" s="76">
        <f>SUM(P48:P52)</f>
        <v>0</v>
      </c>
      <c r="Q47" s="76">
        <f>SUM(Q48:Q52)</f>
        <v>0</v>
      </c>
      <c r="R47" s="76">
        <f>SUM(R48:R52)</f>
        <v>0</v>
      </c>
      <c r="S47" s="76">
        <f>SUM(S48:S52)</f>
        <v>0</v>
      </c>
      <c r="T47" s="76">
        <f t="shared" ref="T47:W47" si="26">SUM(T48:T52)</f>
        <v>0</v>
      </c>
      <c r="U47" s="76">
        <f t="shared" si="26"/>
        <v>0</v>
      </c>
      <c r="V47" s="76">
        <f t="shared" si="26"/>
        <v>0</v>
      </c>
      <c r="W47" s="76">
        <f t="shared" si="26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" customHeight="1">
      <c r="A48" s="287">
        <v>2025</v>
      </c>
      <c r="B48" s="9">
        <v>41</v>
      </c>
      <c r="C48" s="10" t="s">
        <v>254</v>
      </c>
      <c r="D48" s="78">
        <f t="shared" si="17"/>
        <v>0</v>
      </c>
      <c r="E48" s="82">
        <f>SUMIFS('Unos rashoda i izdataka'!$L$3:$L$501,'Unos rashoda i izdataka'!$C$3:$C$501,"=11",'Unos rashoda i izdataka'!$P$3:$P$501,"=41")+SUMIFS('Unos rashoda P4'!$J$3:$J$501,'Unos rashoda P4'!$A$3:$A$501,"=11",'Unos rashoda P4'!$S$3:$S$501,"=41")</f>
        <v>0</v>
      </c>
      <c r="F48" s="82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G48" s="82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H48" s="82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I48" s="82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J48" s="82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K48" s="82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L48" s="82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M48" s="82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N48" s="82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O48" s="82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P48" s="82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Q48" s="82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R48" s="82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S48" s="82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T48" s="82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U48" s="82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V48" s="82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W48" s="82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8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8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9"/>
      <c r="GM48" s="39"/>
      <c r="GN48" s="39"/>
      <c r="GO48" s="39"/>
      <c r="GP48" s="39"/>
      <c r="GQ48" s="39"/>
      <c r="GR48" s="39"/>
      <c r="GS48" s="39"/>
      <c r="GT48" s="39"/>
      <c r="GU48" s="39"/>
      <c r="GV48" s="39"/>
      <c r="GW48" s="39"/>
      <c r="GX48" s="39"/>
      <c r="GY48" s="39"/>
      <c r="GZ48" s="39"/>
      <c r="HA48" s="39"/>
      <c r="HB48" s="39"/>
      <c r="HC48" s="39"/>
      <c r="HD48" s="39"/>
      <c r="HE48" s="39"/>
      <c r="HF48" s="39"/>
      <c r="HG48" s="39"/>
      <c r="HH48" s="39"/>
      <c r="HI48" s="39"/>
      <c r="HJ48" s="39"/>
      <c r="HK48" s="39"/>
      <c r="HL48" s="39"/>
      <c r="HM48" s="39"/>
      <c r="HN48" s="39"/>
      <c r="HO48" s="39"/>
      <c r="HP48" s="39"/>
      <c r="HQ48" s="39"/>
      <c r="HR48" s="39"/>
      <c r="HS48" s="39"/>
      <c r="HT48" s="39"/>
      <c r="HU48" s="39"/>
      <c r="HV48" s="39"/>
      <c r="HW48" s="39"/>
      <c r="HX48" s="39"/>
      <c r="HY48" s="39"/>
      <c r="HZ48" s="39"/>
      <c r="IA48" s="39"/>
      <c r="IB48" s="39"/>
      <c r="IC48" s="39"/>
      <c r="ID48" s="39"/>
      <c r="IE48" s="39"/>
      <c r="IF48" s="39"/>
      <c r="IG48" s="39"/>
      <c r="IH48" s="39"/>
      <c r="II48" s="39"/>
      <c r="IJ48" s="39"/>
      <c r="IK48" s="39"/>
      <c r="IL48" s="39"/>
      <c r="IM48" s="39"/>
      <c r="IN48" s="39"/>
      <c r="IO48" s="39"/>
      <c r="IP48" s="39"/>
      <c r="IQ48" s="39"/>
      <c r="IR48" s="39"/>
      <c r="IS48" s="39"/>
      <c r="IT48" s="39"/>
      <c r="IU48" s="39"/>
      <c r="IV48" s="39"/>
      <c r="IW48" s="39"/>
      <c r="IX48" s="39"/>
      <c r="IY48" s="39"/>
      <c r="IZ48" s="39"/>
      <c r="JA48" s="39"/>
      <c r="JB48" s="39"/>
      <c r="JC48" s="39"/>
    </row>
    <row r="49" spans="1:263" s="16" customFormat="1" ht="12.6" customHeight="1">
      <c r="A49" s="287">
        <v>2025</v>
      </c>
      <c r="B49" s="37">
        <v>42</v>
      </c>
      <c r="C49" s="13" t="s">
        <v>231</v>
      </c>
      <c r="D49" s="78">
        <f t="shared" si="17"/>
        <v>149101</v>
      </c>
      <c r="E49" s="82">
        <f>SUMIFS('Unos rashoda i izdataka'!$L$3:$L$501,'Unos rashoda i izdataka'!$C$3:$C$501,"=11",'Unos rashoda i izdataka'!$P$3:$P$501,"=42")+SUMIFS('Unos rashoda P4'!$J$3:$J$501,'Unos rashoda P4'!$A$3:$A$501,"=11",'Unos rashoda P4'!$S$3:$S$501,"=42")</f>
        <v>18605</v>
      </c>
      <c r="F49" s="82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G49" s="82">
        <f>SUMIFS('Unos rashoda i izdataka'!$L$3:$L$501,'Unos rashoda i izdataka'!$C$3:$C$501,"=31",'Unos rashoda i izdataka'!$P$3:$P$501,"=42")+SUMIFS('Unos rashoda P4'!$J$3:$J$501,'Unos rashoda P4'!$A$3:$A$501,"=31",'Unos rashoda P4'!$S$3:$S$501,"=42")</f>
        <v>66306</v>
      </c>
      <c r="H49" s="82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I49" s="82">
        <f>SUMIFS('Unos rashoda i izdataka'!$L$3:$L$501,'Unos rashoda i izdataka'!$C$3:$C$501,"=43",'Unos rashoda i izdataka'!$P$3:$P$501,"=42")+SUMIFS('Unos rashoda P4'!$J$3:$J$501,'Unos rashoda P4'!$A$3:$A$501,"=43",'Unos rashoda P4'!$S$3:$S$501,"=42")</f>
        <v>64190</v>
      </c>
      <c r="J49" s="82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K49" s="82">
        <f>SUMIFS('Unos rashoda i izdataka'!$L$3:$L$501,'Unos rashoda i izdataka'!$C$3:$C$501,"=52",'Unos rashoda i izdataka'!$P$3:$P$501,"=42")+SUMIFS('Unos rashoda P4'!$J$3:$J$501,'Unos rashoda P4'!$A$3:$A$501,"=52",'Unos rashoda P4'!$S$3:$S$501,"=42")</f>
        <v>0</v>
      </c>
      <c r="L49" s="82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M49" s="82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N49" s="82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O49" s="82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P49" s="82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Q49" s="82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R49" s="82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S49" s="82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T49" s="82">
        <f>SUMIFS('Unos rashoda i izdataka'!$L$3:$L$501,'Unos rashoda i izdataka'!$C$3:$C$501,"=61",'Unos rashoda i izdataka'!$P$3:$P$501,"=42")+SUMIFS('Unos rashoda P4'!$J$3:$J$501,'Unos rashoda P4'!$A$3:$A$501,"=61",'Unos rashoda P4'!$S$3:$S$501,"=42")</f>
        <v>0</v>
      </c>
      <c r="U49" s="82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V49" s="82">
        <f>SUMIFS('Unos rashoda i izdataka'!$L$3:$L$501,'Unos rashoda i izdataka'!$C$3:$C$501,"=71",'Unos rashoda i izdataka'!$P$3:$P$501,"=42")+SUMIFS('Unos rashoda P4'!$J$3:$J$501,'Unos rashoda P4'!$A$3:$A$501,"=71",'Unos rashoda P4'!$S$3:$S$501,"=42")</f>
        <v>0</v>
      </c>
      <c r="W49" s="82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8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8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9"/>
      <c r="GM49" s="39"/>
      <c r="GN49" s="39"/>
      <c r="GO49" s="39"/>
      <c r="GP49" s="39"/>
      <c r="GQ49" s="39"/>
      <c r="GR49" s="39"/>
      <c r="GS49" s="39"/>
      <c r="GT49" s="39"/>
      <c r="GU49" s="39"/>
      <c r="GV49" s="39"/>
      <c r="GW49" s="39"/>
      <c r="GX49" s="39"/>
      <c r="GY49" s="39"/>
      <c r="GZ49" s="39"/>
      <c r="HA49" s="39"/>
      <c r="HB49" s="39"/>
      <c r="HC49" s="39"/>
      <c r="HD49" s="39"/>
      <c r="HE49" s="39"/>
      <c r="HF49" s="39"/>
      <c r="HG49" s="39"/>
      <c r="HH49" s="39"/>
      <c r="HI49" s="39"/>
      <c r="HJ49" s="39"/>
      <c r="HK49" s="39"/>
      <c r="HL49" s="39"/>
      <c r="HM49" s="39"/>
      <c r="HN49" s="39"/>
      <c r="HO49" s="39"/>
      <c r="HP49" s="39"/>
      <c r="HQ49" s="39"/>
      <c r="HR49" s="39"/>
      <c r="HS49" s="39"/>
      <c r="HT49" s="39"/>
      <c r="HU49" s="39"/>
      <c r="HV49" s="39"/>
      <c r="HW49" s="39"/>
      <c r="HX49" s="39"/>
      <c r="HY49" s="39"/>
      <c r="HZ49" s="39"/>
      <c r="IA49" s="39"/>
      <c r="IB49" s="39"/>
      <c r="IC49" s="39"/>
      <c r="ID49" s="39"/>
      <c r="IE49" s="39"/>
      <c r="IF49" s="39"/>
      <c r="IG49" s="39"/>
      <c r="IH49" s="39"/>
      <c r="II49" s="39"/>
      <c r="IJ49" s="39"/>
      <c r="IK49" s="39"/>
      <c r="IL49" s="39"/>
      <c r="IM49" s="39"/>
      <c r="IN49" s="39"/>
      <c r="IO49" s="39"/>
      <c r="IP49" s="39"/>
      <c r="IQ49" s="39"/>
      <c r="IR49" s="39"/>
      <c r="IS49" s="39"/>
      <c r="IT49" s="39"/>
      <c r="IU49" s="39"/>
      <c r="IV49" s="39"/>
      <c r="IW49" s="39"/>
      <c r="IX49" s="39"/>
      <c r="IY49" s="39"/>
      <c r="IZ49" s="39"/>
      <c r="JA49" s="39"/>
      <c r="JB49" s="39"/>
      <c r="JC49" s="39"/>
    </row>
    <row r="50" spans="1:263" s="11" customFormat="1" ht="12.6" customHeight="1">
      <c r="A50" s="287">
        <v>2025</v>
      </c>
      <c r="B50" s="9">
        <v>43</v>
      </c>
      <c r="C50" s="10" t="s">
        <v>255</v>
      </c>
      <c r="D50" s="78">
        <f t="shared" si="17"/>
        <v>0</v>
      </c>
      <c r="E50" s="82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F50" s="82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G50" s="82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H50" s="82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I50" s="82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J50" s="82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K50" s="82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L50" s="82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M50" s="82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N50" s="82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O50" s="82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P50" s="82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Q50" s="82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R50" s="82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S50" s="82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T50" s="82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U50" s="82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V50" s="82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W50" s="82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36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IA50" s="36"/>
      <c r="IB50" s="36"/>
      <c r="IC50" s="36"/>
      <c r="ID50" s="36"/>
      <c r="IE50" s="36"/>
      <c r="IF50" s="36"/>
      <c r="IG50" s="36"/>
      <c r="IH50" s="36"/>
      <c r="II50" s="36"/>
      <c r="IJ50" s="36"/>
      <c r="IK50" s="36"/>
      <c r="IL50" s="36"/>
      <c r="IM50" s="36"/>
      <c r="IN50" s="36"/>
      <c r="IO50" s="36"/>
      <c r="IP50" s="36"/>
      <c r="IQ50" s="36"/>
      <c r="IR50" s="36"/>
      <c r="IS50" s="36"/>
      <c r="IT50" s="36"/>
      <c r="IU50" s="36"/>
      <c r="IV50" s="36"/>
      <c r="IW50" s="36"/>
      <c r="IX50" s="36"/>
      <c r="IY50" s="36"/>
      <c r="IZ50" s="36"/>
      <c r="JA50" s="36"/>
      <c r="JB50" s="36"/>
      <c r="JC50" s="36"/>
    </row>
    <row r="51" spans="1:263" s="11" customFormat="1" ht="12.6" customHeight="1">
      <c r="A51" s="287">
        <v>2025</v>
      </c>
      <c r="B51" s="9">
        <v>44</v>
      </c>
      <c r="C51" s="10" t="s">
        <v>256</v>
      </c>
      <c r="D51" s="78">
        <f t="shared" si="17"/>
        <v>0</v>
      </c>
      <c r="E51" s="82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F51" s="82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G51" s="82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H51" s="82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I51" s="82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J51" s="82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K51" s="82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L51" s="82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M51" s="82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N51" s="82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O51" s="82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P51" s="82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Q51" s="82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R51" s="82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S51" s="82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T51" s="82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U51" s="82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V51" s="82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W51" s="82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36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  <c r="IA51" s="36"/>
      <c r="IB51" s="36"/>
      <c r="IC51" s="36"/>
      <c r="ID51" s="36"/>
      <c r="IE51" s="36"/>
      <c r="IF51" s="36"/>
      <c r="IG51" s="36"/>
      <c r="IH51" s="36"/>
      <c r="II51" s="36"/>
      <c r="IJ51" s="36"/>
      <c r="IK51" s="36"/>
      <c r="IL51" s="36"/>
      <c r="IM51" s="36"/>
      <c r="IN51" s="36"/>
      <c r="IO51" s="36"/>
      <c r="IP51" s="36"/>
      <c r="IQ51" s="36"/>
      <c r="IR51" s="36"/>
      <c r="IS51" s="36"/>
      <c r="IT51" s="36"/>
      <c r="IU51" s="36"/>
      <c r="IV51" s="36"/>
      <c r="IW51" s="36"/>
      <c r="IX51" s="36"/>
      <c r="IY51" s="36"/>
      <c r="IZ51" s="36"/>
      <c r="JA51" s="36"/>
      <c r="JB51" s="36"/>
      <c r="JC51" s="36"/>
    </row>
    <row r="52" spans="1:263" s="16" customFormat="1" ht="12.6" customHeight="1">
      <c r="A52" s="287">
        <v>2025</v>
      </c>
      <c r="B52" s="37">
        <v>45</v>
      </c>
      <c r="C52" s="13" t="s">
        <v>204</v>
      </c>
      <c r="D52" s="78">
        <f t="shared" si="17"/>
        <v>0</v>
      </c>
      <c r="E52" s="82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F52" s="82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G52" s="82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H52" s="82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I52" s="82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J52" s="82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K52" s="82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L52" s="82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M52" s="82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N52" s="82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O52" s="82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P52" s="82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Q52" s="82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R52" s="82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S52" s="82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T52" s="82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U52" s="82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V52" s="82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W52" s="82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8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8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8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9"/>
      <c r="GM52" s="39"/>
      <c r="GN52" s="39"/>
      <c r="GO52" s="39"/>
      <c r="GP52" s="39"/>
      <c r="GQ52" s="39"/>
      <c r="GR52" s="39"/>
      <c r="GS52" s="39"/>
      <c r="GT52" s="39"/>
      <c r="GU52" s="39"/>
      <c r="GV52" s="39"/>
      <c r="GW52" s="39"/>
      <c r="GX52" s="39"/>
      <c r="GY52" s="39"/>
      <c r="GZ52" s="39"/>
      <c r="HA52" s="39"/>
      <c r="HB52" s="39"/>
      <c r="HC52" s="39"/>
      <c r="HD52" s="39"/>
      <c r="HE52" s="39"/>
      <c r="HF52" s="39"/>
      <c r="HG52" s="39"/>
      <c r="HH52" s="39"/>
      <c r="HI52" s="39"/>
      <c r="HJ52" s="39"/>
      <c r="HK52" s="39"/>
      <c r="HL52" s="39"/>
      <c r="HM52" s="39"/>
      <c r="HN52" s="39"/>
      <c r="HO52" s="39"/>
      <c r="HP52" s="39"/>
      <c r="HQ52" s="39"/>
      <c r="HR52" s="39"/>
      <c r="HS52" s="39"/>
      <c r="HT52" s="39"/>
      <c r="HU52" s="39"/>
      <c r="HV52" s="39"/>
      <c r="HW52" s="39"/>
      <c r="HX52" s="39"/>
      <c r="HY52" s="39"/>
      <c r="HZ52" s="39"/>
      <c r="IA52" s="39"/>
      <c r="IB52" s="39"/>
      <c r="IC52" s="39"/>
      <c r="ID52" s="39"/>
      <c r="IE52" s="39"/>
      <c r="IF52" s="39"/>
      <c r="IG52" s="39"/>
      <c r="IH52" s="39"/>
      <c r="II52" s="39"/>
      <c r="IJ52" s="39"/>
      <c r="IK52" s="39"/>
      <c r="IL52" s="39"/>
      <c r="IM52" s="39"/>
      <c r="IN52" s="39"/>
      <c r="IO52" s="39"/>
      <c r="IP52" s="39"/>
      <c r="IQ52" s="39"/>
      <c r="IR52" s="39"/>
      <c r="IS52" s="39"/>
      <c r="IT52" s="39"/>
      <c r="IU52" s="39"/>
      <c r="IV52" s="39"/>
      <c r="IW52" s="39"/>
      <c r="IX52" s="39"/>
      <c r="IY52" s="39"/>
      <c r="IZ52" s="39"/>
      <c r="JA52" s="39"/>
      <c r="JB52" s="39"/>
      <c r="JC52" s="39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algorithmName="SHA-512" hashValue="4NwNcQNwrZjCqVadxmCtNBbHTX1xGhWQkGxTIw/5hDsJw3kbyho6yVIi49i/hpYuDU6wrdwoSkCxZvSl2tL7FQ==" saltValue="amOngL7z76u40e7yQxSyIg==" spinCount="100000" sheet="1" selectLockedCells="1" autoFilter="0"/>
  <mergeCells count="1">
    <mergeCell ref="B1:W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19" max="16383" man="1"/>
    <brk id="3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K35"/>
  <sheetViews>
    <sheetView workbookViewId="0">
      <selection activeCell="F35" sqref="F35"/>
    </sheetView>
  </sheetViews>
  <sheetFormatPr defaultRowHeight="15"/>
  <cols>
    <col min="1" max="1" width="9.140625" style="185" customWidth="1"/>
    <col min="2" max="2" width="34" customWidth="1"/>
    <col min="3" max="5" width="14.140625" customWidth="1"/>
  </cols>
  <sheetData>
    <row r="1" spans="1:193" s="32" customFormat="1" ht="24" customHeight="1">
      <c r="A1" s="304" t="s">
        <v>5116</v>
      </c>
      <c r="B1" s="304"/>
      <c r="C1" s="304"/>
      <c r="D1" s="304"/>
      <c r="E1" s="304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185" t="s">
        <v>5269</v>
      </c>
    </row>
    <row r="4" spans="1:193" ht="38.25">
      <c r="A4" s="258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5"/>
      <c r="B5" s="65" t="s">
        <v>5142</v>
      </c>
      <c r="C5" s="280">
        <f>+C6+C9+C11+C14+C25+C28+C30</f>
        <v>17534277</v>
      </c>
      <c r="D5" s="280">
        <f t="shared" ref="D5:E5" si="0">+D6+D9+D11+D14+D25+D28+D30</f>
        <v>9209347</v>
      </c>
      <c r="E5" s="280">
        <f t="shared" si="0"/>
        <v>9235800</v>
      </c>
    </row>
    <row r="6" spans="1:193">
      <c r="A6" s="259">
        <v>1</v>
      </c>
      <c r="B6" s="64" t="s">
        <v>5131</v>
      </c>
      <c r="C6" s="279">
        <f>+C7+C8</f>
        <v>7198532</v>
      </c>
      <c r="D6" s="279">
        <f t="shared" ref="D6:E6" si="1">+D7+D8</f>
        <v>7228357</v>
      </c>
      <c r="E6" s="279">
        <f t="shared" si="1"/>
        <v>7258335</v>
      </c>
    </row>
    <row r="7" spans="1:193">
      <c r="A7" s="256">
        <v>11</v>
      </c>
      <c r="B7" s="45" t="s">
        <v>5118</v>
      </c>
      <c r="C7" s="278">
        <f>+'A.2 RASHODI'!E4</f>
        <v>7198532</v>
      </c>
      <c r="D7" s="278">
        <f>+'A.2 RASHODI'!E21</f>
        <v>7228357</v>
      </c>
      <c r="E7" s="278">
        <f>+'A.2 RASHODI'!E38</f>
        <v>7258335</v>
      </c>
    </row>
    <row r="8" spans="1:193">
      <c r="A8" s="256">
        <v>12</v>
      </c>
      <c r="B8" s="45" t="s">
        <v>232</v>
      </c>
      <c r="C8" s="278">
        <f>+'A.2 RASHODI'!F4</f>
        <v>0</v>
      </c>
      <c r="D8" s="278">
        <f>+'A.2 RASHODI'!F21</f>
        <v>0</v>
      </c>
      <c r="E8" s="278">
        <f>+'A.2 RASHODI'!F38</f>
        <v>0</v>
      </c>
    </row>
    <row r="9" spans="1:193">
      <c r="A9" s="259">
        <v>3</v>
      </c>
      <c r="B9" s="64" t="s">
        <v>5132</v>
      </c>
      <c r="C9" s="279">
        <f>+C10</f>
        <v>291990</v>
      </c>
      <c r="D9" s="279">
        <f t="shared" ref="D9:E9" si="2">+D10</f>
        <v>301042</v>
      </c>
      <c r="E9" s="279">
        <f t="shared" si="2"/>
        <v>310374</v>
      </c>
    </row>
    <row r="10" spans="1:193">
      <c r="A10" s="256">
        <v>31</v>
      </c>
      <c r="B10" s="45" t="s">
        <v>5119</v>
      </c>
      <c r="C10" s="278">
        <f>+'A.2 RASHODI'!G4</f>
        <v>291990</v>
      </c>
      <c r="D10" s="278">
        <f>+'A.2 RASHODI'!G21</f>
        <v>301042</v>
      </c>
      <c r="E10" s="278">
        <f>+'A.2 RASHODI'!G38</f>
        <v>310374</v>
      </c>
    </row>
    <row r="11" spans="1:193">
      <c r="A11" s="259">
        <v>4</v>
      </c>
      <c r="B11" s="64" t="s">
        <v>5133</v>
      </c>
      <c r="C11" s="279">
        <f>+C12+C13</f>
        <v>1536930</v>
      </c>
      <c r="D11" s="279">
        <f t="shared" ref="D11:E11" si="3">+D12+D13</f>
        <v>1573628</v>
      </c>
      <c r="E11" s="279">
        <f t="shared" si="3"/>
        <v>1622410</v>
      </c>
    </row>
    <row r="12" spans="1:193">
      <c r="A12" s="256">
        <v>41</v>
      </c>
      <c r="B12" s="45" t="s">
        <v>1209</v>
      </c>
      <c r="C12" s="278">
        <f>+'A.2 RASHODI'!H4</f>
        <v>0</v>
      </c>
      <c r="D12" s="278">
        <f>+'A.2 RASHODI'!H21</f>
        <v>0</v>
      </c>
      <c r="E12" s="278">
        <f>+'A.2 RASHODI'!H38</f>
        <v>0</v>
      </c>
    </row>
    <row r="13" spans="1:193">
      <c r="A13" s="256">
        <v>43</v>
      </c>
      <c r="B13" s="45" t="s">
        <v>5121</v>
      </c>
      <c r="C13" s="278">
        <f>+'A.2 RASHODI'!I4</f>
        <v>1536930</v>
      </c>
      <c r="D13" s="278">
        <f>+'A.2 RASHODI'!I21</f>
        <v>1573628</v>
      </c>
      <c r="E13" s="278">
        <f>+'A.2 RASHODI'!I38</f>
        <v>1622410</v>
      </c>
    </row>
    <row r="14" spans="1:193">
      <c r="A14" s="259">
        <v>5</v>
      </c>
      <c r="B14" s="64" t="s">
        <v>5134</v>
      </c>
      <c r="C14" s="279">
        <f>SUM(C15:C24)</f>
        <v>8506825</v>
      </c>
      <c r="D14" s="279">
        <f t="shared" ref="D14:E14" si="4">SUM(D15:D24)</f>
        <v>106320</v>
      </c>
      <c r="E14" s="279">
        <f t="shared" si="4"/>
        <v>44681</v>
      </c>
    </row>
    <row r="15" spans="1:193">
      <c r="A15" s="256">
        <v>51</v>
      </c>
      <c r="B15" s="45" t="s">
        <v>5122</v>
      </c>
      <c r="C15" s="278">
        <f>+'A.2 RASHODI'!J4</f>
        <v>73860</v>
      </c>
      <c r="D15" s="278">
        <f>+'A.2 RASHODI'!J21</f>
        <v>24930</v>
      </c>
      <c r="E15" s="278">
        <f>+'A.2 RASHODI'!J38</f>
        <v>9381</v>
      </c>
    </row>
    <row r="16" spans="1:193">
      <c r="A16" s="256">
        <v>52</v>
      </c>
      <c r="B16" s="45" t="s">
        <v>5123</v>
      </c>
      <c r="C16" s="278">
        <f>+'A.2 RASHODI'!K4</f>
        <v>130922</v>
      </c>
      <c r="D16" s="278">
        <f>+'A.2 RASHODI'!K21</f>
        <v>81390</v>
      </c>
      <c r="E16" s="278">
        <f>+'A.2 RASHODI'!K38</f>
        <v>35300</v>
      </c>
    </row>
    <row r="17" spans="1:5">
      <c r="A17" s="256">
        <v>552</v>
      </c>
      <c r="B17" s="45" t="s">
        <v>5124</v>
      </c>
      <c r="C17" s="278">
        <f>+'A.2 RASHODI'!L4</f>
        <v>0</v>
      </c>
      <c r="D17" s="278">
        <f>+'A.2 RASHODI'!L21</f>
        <v>0</v>
      </c>
      <c r="E17" s="278">
        <f>+'A.2 RASHODI'!L38</f>
        <v>0</v>
      </c>
    </row>
    <row r="18" spans="1:5">
      <c r="A18" s="256">
        <v>559</v>
      </c>
      <c r="B18" s="45" t="s">
        <v>5125</v>
      </c>
      <c r="C18" s="278">
        <f>+'A.2 RASHODI'!M4</f>
        <v>0</v>
      </c>
      <c r="D18" s="278">
        <f>+'A.2 RASHODI'!M21</f>
        <v>0</v>
      </c>
      <c r="E18" s="278">
        <f>+'A.2 RASHODI'!M38</f>
        <v>0</v>
      </c>
    </row>
    <row r="19" spans="1:5">
      <c r="A19" s="256">
        <v>561</v>
      </c>
      <c r="B19" s="45" t="s">
        <v>111</v>
      </c>
      <c r="C19" s="278">
        <f>+'A.2 RASHODI'!N4</f>
        <v>0</v>
      </c>
      <c r="D19" s="278">
        <f>+'A.2 RASHODI'!N21</f>
        <v>0</v>
      </c>
      <c r="E19" s="278">
        <f>+'A.2 RASHODI'!N38</f>
        <v>0</v>
      </c>
    </row>
    <row r="20" spans="1:5">
      <c r="A20" s="256">
        <v>563</v>
      </c>
      <c r="B20" s="45" t="s">
        <v>1750</v>
      </c>
      <c r="C20" s="278">
        <f>+'A.2 RASHODI'!O4</f>
        <v>0</v>
      </c>
      <c r="D20" s="278">
        <f>+'A.2 RASHODI'!O21</f>
        <v>0</v>
      </c>
      <c r="E20" s="278">
        <f>+'A.2 RASHODI'!O38</f>
        <v>0</v>
      </c>
    </row>
    <row r="21" spans="1:5" ht="25.5">
      <c r="A21" s="256">
        <v>573</v>
      </c>
      <c r="B21" s="45" t="s">
        <v>1221</v>
      </c>
      <c r="C21" s="278">
        <f>+'A.2 RASHODI'!P4</f>
        <v>0</v>
      </c>
      <c r="D21" s="278">
        <f>+'A.2 RASHODI'!P21</f>
        <v>0</v>
      </c>
      <c r="E21" s="278">
        <f>+'A.2 RASHODI'!P38</f>
        <v>0</v>
      </c>
    </row>
    <row r="22" spans="1:5">
      <c r="A22" s="256">
        <v>575</v>
      </c>
      <c r="B22" s="45" t="s">
        <v>1223</v>
      </c>
      <c r="C22" s="278">
        <f>+'A.2 RASHODI'!Q4</f>
        <v>0</v>
      </c>
      <c r="D22" s="278">
        <f>+'A.2 RASHODI'!Q21</f>
        <v>0</v>
      </c>
      <c r="E22" s="278">
        <f>+'A.2 RASHODI'!Q38</f>
        <v>0</v>
      </c>
    </row>
    <row r="23" spans="1:5">
      <c r="A23" s="256">
        <v>576</v>
      </c>
      <c r="B23" s="45" t="s">
        <v>1703</v>
      </c>
      <c r="C23" s="278">
        <f>+'A.2 RASHODI'!R4</f>
        <v>5003386</v>
      </c>
      <c r="D23" s="278">
        <f>+'A.2 RASHODI'!R21</f>
        <v>0</v>
      </c>
      <c r="E23" s="278">
        <f>+'A.2 RASHODI'!R38</f>
        <v>0</v>
      </c>
    </row>
    <row r="24" spans="1:5">
      <c r="A24" s="256">
        <v>581</v>
      </c>
      <c r="B24" s="45" t="s">
        <v>1781</v>
      </c>
      <c r="C24" s="278">
        <f>+'A.2 RASHODI'!S4</f>
        <v>3298657</v>
      </c>
      <c r="D24" s="278">
        <f>+'A.2 RASHODI'!S21</f>
        <v>0</v>
      </c>
      <c r="E24" s="278">
        <f>+'A.2 RASHODI'!S38</f>
        <v>0</v>
      </c>
    </row>
    <row r="25" spans="1:5">
      <c r="A25" s="259">
        <v>6</v>
      </c>
      <c r="B25" s="64" t="s">
        <v>5135</v>
      </c>
      <c r="C25" s="279">
        <f>+C26+C27</f>
        <v>0</v>
      </c>
      <c r="D25" s="279">
        <f t="shared" ref="D25:E25" si="5">+D26+D27</f>
        <v>0</v>
      </c>
      <c r="E25" s="279">
        <f t="shared" si="5"/>
        <v>0</v>
      </c>
    </row>
    <row r="26" spans="1:5">
      <c r="A26" s="256">
        <v>61</v>
      </c>
      <c r="B26" s="45" t="s">
        <v>1684</v>
      </c>
      <c r="C26" s="278">
        <f>+'A.2 RASHODI'!T4</f>
        <v>0</v>
      </c>
      <c r="D26" s="278">
        <f>+'A.2 RASHODI'!T21</f>
        <v>0</v>
      </c>
      <c r="E26" s="278">
        <f>+'A.2 RASHODI'!T38</f>
        <v>0</v>
      </c>
    </row>
    <row r="27" spans="1:5">
      <c r="A27" s="256">
        <v>63</v>
      </c>
      <c r="B27" s="45" t="s">
        <v>5129</v>
      </c>
      <c r="C27" s="278">
        <f>+'A.2 RASHODI'!U4</f>
        <v>0</v>
      </c>
      <c r="D27" s="278">
        <f>+'A.2 RASHODI'!U21</f>
        <v>0</v>
      </c>
      <c r="E27" s="278">
        <f>+'A.2 RASHODI'!U38</f>
        <v>0</v>
      </c>
    </row>
    <row r="28" spans="1:5" ht="38.25">
      <c r="A28" s="259">
        <v>7</v>
      </c>
      <c r="B28" s="64" t="s">
        <v>5136</v>
      </c>
      <c r="C28" s="279">
        <f>+C29</f>
        <v>0</v>
      </c>
      <c r="D28" s="279">
        <f t="shared" ref="D28:E28" si="6">+D29</f>
        <v>0</v>
      </c>
      <c r="E28" s="279">
        <f t="shared" si="6"/>
        <v>0</v>
      </c>
    </row>
    <row r="29" spans="1:5" ht="25.5">
      <c r="A29" s="256">
        <v>71</v>
      </c>
      <c r="B29" s="45" t="s">
        <v>5130</v>
      </c>
      <c r="C29" s="278">
        <f>+'A.2 RASHODI'!V4</f>
        <v>0</v>
      </c>
      <c r="D29" s="278">
        <f>+'A.2 RASHODI'!V21</f>
        <v>0</v>
      </c>
      <c r="E29" s="278">
        <f>+'A.2 RASHODI'!V38</f>
        <v>0</v>
      </c>
    </row>
    <row r="30" spans="1:5">
      <c r="A30" s="259">
        <v>8</v>
      </c>
      <c r="B30" s="64" t="s">
        <v>5137</v>
      </c>
      <c r="C30" s="279">
        <f>+C31</f>
        <v>0</v>
      </c>
      <c r="D30" s="279">
        <f t="shared" ref="D30:E30" si="7">+D31</f>
        <v>0</v>
      </c>
      <c r="E30" s="279">
        <f t="shared" si="7"/>
        <v>0</v>
      </c>
    </row>
    <row r="31" spans="1:5">
      <c r="A31" s="256">
        <v>81</v>
      </c>
      <c r="B31" s="45" t="s">
        <v>56</v>
      </c>
      <c r="C31" s="278">
        <f>+'A.2 RASHODI'!W4</f>
        <v>0</v>
      </c>
      <c r="D31" s="278">
        <f>+'A.2 RASHODI'!W21</f>
        <v>0</v>
      </c>
      <c r="E31" s="278">
        <f>+'A.2 RASHODI'!W38</f>
        <v>0</v>
      </c>
    </row>
    <row r="32" spans="1:5">
      <c r="B32" s="255"/>
    </row>
    <row r="33" spans="2:2">
      <c r="B33" s="255"/>
    </row>
    <row r="34" spans="2:2">
      <c r="B34" s="255"/>
    </row>
    <row r="35" spans="2:2">
      <c r="B35" s="255"/>
    </row>
  </sheetData>
  <sheetProtection algorithmName="SHA-512" hashValue="hERsJUJBknMH/8uqnU6xBTAznY2ZSMQDwJ8G7N4+Bd5q+0gAsqS6PewoxT9TVpmMJ6/+pTPAUWcYF591DKBpmw==" saltValue="lfWwAWFjHvT29G6lho1kxg==" spinCount="100000" sheet="1" objects="1" scenarios="1"/>
  <mergeCells count="1">
    <mergeCell ref="A1:E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K84"/>
  <sheetViews>
    <sheetView workbookViewId="0">
      <pane xSplit="1" ySplit="4" topLeftCell="B8" activePane="bottomRight" state="frozen"/>
      <selection pane="topRight" activeCell="B1" sqref="B1"/>
      <selection pane="bottomLeft" activeCell="A4" sqref="A4"/>
      <selection pane="bottomRight" activeCell="C7" sqref="C7"/>
    </sheetView>
  </sheetViews>
  <sheetFormatPr defaultRowHeight="15"/>
  <cols>
    <col min="1" max="1" width="9.28515625" style="274" bestFit="1" customWidth="1"/>
    <col min="2" max="2" width="41.85546875" style="255" customWidth="1"/>
    <col min="3" max="5" width="15.85546875" customWidth="1"/>
  </cols>
  <sheetData>
    <row r="1" spans="1:193" s="32" customFormat="1" ht="24" customHeight="1">
      <c r="A1" s="304" t="s">
        <v>5141</v>
      </c>
      <c r="B1" s="304"/>
      <c r="C1" s="304"/>
      <c r="D1" s="304"/>
      <c r="E1" s="304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249"/>
      <c r="B2" s="249"/>
      <c r="C2" s="249"/>
      <c r="D2" s="249"/>
      <c r="E2" s="249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185" t="s">
        <v>5269</v>
      </c>
    </row>
    <row r="4" spans="1:193" ht="25.5">
      <c r="A4" s="2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272"/>
      <c r="B5" s="65" t="s">
        <v>5142</v>
      </c>
      <c r="C5" s="67">
        <f>+C6+C15+C21+C28+C38+C45+C52+C59+C66+C75</f>
        <v>17478958</v>
      </c>
      <c r="D5" s="67">
        <f t="shared" ref="D5:E5" si="0">+D6+D15+D21+D28+D38+D45+D52+D59+D66+D75</f>
        <v>9184417</v>
      </c>
      <c r="E5" s="67">
        <f t="shared" si="0"/>
        <v>9226419</v>
      </c>
    </row>
    <row r="6" spans="1:193">
      <c r="A6" s="257">
        <v>1</v>
      </c>
      <c r="B6" s="64" t="s">
        <v>5143</v>
      </c>
      <c r="C6" s="279">
        <f>SUM(C7:C14)</f>
        <v>92276</v>
      </c>
      <c r="D6" s="279">
        <f>SUM(D7:D14)</f>
        <v>56547</v>
      </c>
      <c r="E6" s="279">
        <f>SUM(E7:E14)</f>
        <v>22028</v>
      </c>
    </row>
    <row r="7" spans="1:193" ht="25.5">
      <c r="A7" s="273">
        <v>11</v>
      </c>
      <c r="B7" s="45" t="s">
        <v>5144</v>
      </c>
      <c r="C7" s="278">
        <f>SUMIF('Unos rashoda i izdataka'!$R$3:$R$501,'A.4 RASHODI FUNK'!$A7,'Unos rashoda i izdataka'!$J$3:$J$501)+SUMIF('Unos rashoda P4'!$T$3:$T$501,'A.4 RASHODI FUNK'!$A7,'Unos rashoda P4'!$H$3:$H$501)</f>
        <v>0</v>
      </c>
      <c r="D7" s="278">
        <f>SUMIF('Unos rashoda i izdataka'!$R$3:$R$501,'A.4 RASHODI FUNK'!$A7,'Unos rashoda i izdataka'!$K$3:$K$501)+SUMIF('Unos rashoda P4'!$T$3:$T$501,'A.4 RASHODI FUNK'!$A7,'Unos rashoda P4'!$I$3:$I$501)</f>
        <v>0</v>
      </c>
      <c r="E7" s="278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273">
        <v>12</v>
      </c>
      <c r="B8" s="45" t="s">
        <v>5145</v>
      </c>
      <c r="C8" s="278">
        <f>SUMIF('Unos rashoda i izdataka'!$R$3:$R$501,'A.4 RASHODI FUNK'!$A8,'Unos rashoda i izdataka'!$J$3:$J$501)+SUMIF('Unos rashoda P4'!$T$3:$T$501,'A.4 RASHODI FUNK'!$A8,'Unos rashoda P4'!$H$3:$H$501)</f>
        <v>0</v>
      </c>
      <c r="D8" s="278">
        <f>SUMIF('Unos rashoda i izdataka'!$R$3:$R$501,'A.4 RASHODI FUNK'!$A8,'Unos rashoda i izdataka'!$K$3:$K$501)+SUMIF('Unos rashoda P4'!$T$3:$T$501,'A.4 RASHODI FUNK'!$A8,'Unos rashoda P4'!$I$3:$I$501)</f>
        <v>0</v>
      </c>
      <c r="E8" s="278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273">
        <v>13</v>
      </c>
      <c r="B9" s="45" t="s">
        <v>5147</v>
      </c>
      <c r="C9" s="278">
        <f>SUMIF('Unos rashoda i izdataka'!$R$3:$R$501,'A.4 RASHODI FUNK'!$A9,'Unos rashoda i izdataka'!$J$3:$J$501)+SUMIF('Unos rashoda P4'!$T$3:$T$501,'A.4 RASHODI FUNK'!$A9,'Unos rashoda P4'!$H$3:$H$501)</f>
        <v>0</v>
      </c>
      <c r="D9" s="278">
        <f>SUMIF('Unos rashoda i izdataka'!$R$3:$R$501,'A.4 RASHODI FUNK'!$A9,'Unos rashoda i izdataka'!$K$3:$K$501)+SUMIF('Unos rashoda P4'!$T$3:$T$501,'A.4 RASHODI FUNK'!$A9,'Unos rashoda P4'!$I$3:$I$501)</f>
        <v>0</v>
      </c>
      <c r="E9" s="278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273">
        <v>14</v>
      </c>
      <c r="B10" s="45" t="s">
        <v>5197</v>
      </c>
      <c r="C10" s="278">
        <f>SUMIF('Unos rashoda i izdataka'!$R$3:$R$501,'A.4 RASHODI FUNK'!$A10,'Unos rashoda i izdataka'!$J$3:$J$501)+SUMIF('Unos rashoda P4'!$T$3:$T$501,'A.4 RASHODI FUNK'!$A10,'Unos rashoda P4'!$H$3:$H$501)</f>
        <v>0</v>
      </c>
      <c r="D10" s="278">
        <f>SUMIF('Unos rashoda i izdataka'!$R$3:$R$501,'A.4 RASHODI FUNK'!$A10,'Unos rashoda i izdataka'!$K$3:$K$501)+SUMIF('Unos rashoda P4'!$T$3:$T$501,'A.4 RASHODI FUNK'!$A10,'Unos rashoda P4'!$I$3:$I$501)</f>
        <v>0</v>
      </c>
      <c r="E10" s="278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273">
        <v>15</v>
      </c>
      <c r="B11" s="45" t="s">
        <v>5154</v>
      </c>
      <c r="C11" s="278">
        <f>SUMIF('Unos rashoda i izdataka'!$R$3:$R$501,'A.4 RASHODI FUNK'!$A11,'Unos rashoda i izdataka'!$J$3:$J$501)+SUMIF('Unos rashoda P4'!$T$3:$T$501,'A.4 RASHODI FUNK'!$A11,'Unos rashoda P4'!$H$3:$H$501)</f>
        <v>92276</v>
      </c>
      <c r="D11" s="278">
        <f>SUMIF('Unos rashoda i izdataka'!$R$3:$R$501,'A.4 RASHODI FUNK'!$A11,'Unos rashoda i izdataka'!$K$3:$K$501)+SUMIF('Unos rashoda P4'!$T$3:$T$501,'A.4 RASHODI FUNK'!$A11,'Unos rashoda P4'!$I$3:$I$501)</f>
        <v>56547</v>
      </c>
      <c r="E11" s="278">
        <f>SUMIF('Unos rashoda i izdataka'!$R$3:$R$501,'A.4 RASHODI FUNK'!$A11,'Unos rashoda i izdataka'!$L$3:$L$501)+SUMIF('Unos rashoda P4'!$T$3:$T$501,'A.4 RASHODI FUNK'!$A11,'Unos rashoda P4'!$J$3:$J$501)</f>
        <v>22028</v>
      </c>
    </row>
    <row r="12" spans="1:193">
      <c r="A12" s="273">
        <v>16</v>
      </c>
      <c r="B12" s="45" t="s">
        <v>5198</v>
      </c>
      <c r="C12" s="278">
        <f>SUMIF('Unos rashoda i izdataka'!$R$3:$R$501,'A.4 RASHODI FUNK'!$A12,'Unos rashoda i izdataka'!$J$3:$J$501)+SUMIF('Unos rashoda P4'!$T$3:$T$501,'A.4 RASHODI FUNK'!$A12,'Unos rashoda P4'!$H$3:$H$501)</f>
        <v>0</v>
      </c>
      <c r="D12" s="278">
        <f>SUMIF('Unos rashoda i izdataka'!$R$3:$R$501,'A.4 RASHODI FUNK'!$A12,'Unos rashoda i izdataka'!$K$3:$K$501)+SUMIF('Unos rashoda P4'!$T$3:$T$501,'A.4 RASHODI FUNK'!$A12,'Unos rashoda P4'!$I$3:$I$501)</f>
        <v>0</v>
      </c>
      <c r="E12" s="278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273">
        <v>17</v>
      </c>
      <c r="B13" s="45" t="s">
        <v>5199</v>
      </c>
      <c r="C13" s="278">
        <f>SUMIF('Unos rashoda i izdataka'!$R$3:$R$501,'A.4 RASHODI FUNK'!$A13,'Unos rashoda i izdataka'!$J$3:$J$501)+SUMIF('Unos rashoda P4'!$T$3:$T$501,'A.4 RASHODI FUNK'!$A13,'Unos rashoda P4'!$H$3:$H$501)</f>
        <v>0</v>
      </c>
      <c r="D13" s="278">
        <f>SUMIF('Unos rashoda i izdataka'!$R$3:$R$501,'A.4 RASHODI FUNK'!$A13,'Unos rashoda i izdataka'!$K$3:$K$501)+SUMIF('Unos rashoda P4'!$T$3:$T$501,'A.4 RASHODI FUNK'!$A13,'Unos rashoda P4'!$I$3:$I$501)</f>
        <v>0</v>
      </c>
      <c r="E13" s="278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273">
        <v>18</v>
      </c>
      <c r="B14" s="45" t="s">
        <v>5166</v>
      </c>
      <c r="C14" s="278">
        <f>SUMIF('Unos rashoda i izdataka'!$R$3:$R$501,'A.4 RASHODI FUNK'!$A14,'Unos rashoda i izdataka'!$J$3:$J$501)+SUMIF('Unos rashoda P4'!$T$3:$T$501,'A.4 RASHODI FUNK'!$A14,'Unos rashoda P4'!$H$3:$H$501)</f>
        <v>0</v>
      </c>
      <c r="D14" s="278">
        <f>SUMIF('Unos rashoda i izdataka'!$R$3:$R$501,'A.4 RASHODI FUNK'!$A14,'Unos rashoda i izdataka'!$K$3:$K$501)+SUMIF('Unos rashoda P4'!$T$3:$T$501,'A.4 RASHODI FUNK'!$A14,'Unos rashoda P4'!$I$3:$I$501)</f>
        <v>0</v>
      </c>
      <c r="E14" s="278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257">
        <v>2</v>
      </c>
      <c r="B15" s="64" t="s">
        <v>5200</v>
      </c>
      <c r="C15" s="279">
        <f>SUM(C16:C20)</f>
        <v>0</v>
      </c>
      <c r="D15" s="279">
        <f>SUM(D16:D20)</f>
        <v>0</v>
      </c>
      <c r="E15" s="279">
        <f>SUM(E16:E20)</f>
        <v>0</v>
      </c>
    </row>
    <row r="16" spans="1:193">
      <c r="A16" s="273">
        <v>21</v>
      </c>
      <c r="B16" s="45" t="s">
        <v>5201</v>
      </c>
      <c r="C16" s="278">
        <f>SUMIF('Unos rashoda i izdataka'!$R$3:$R$501,'A.4 RASHODI FUNK'!$A16,'Unos rashoda i izdataka'!$J$3:$J$501)+SUMIF('Unos rashoda P4'!$T$3:$T$501,'A.4 RASHODI FUNK'!$A16,'Unos rashoda P4'!$H$3:$H$501)</f>
        <v>0</v>
      </c>
      <c r="D16" s="278">
        <f>SUMIF('Unos rashoda i izdataka'!$R$3:$R$501,'A.4 RASHODI FUNK'!$A16,'Unos rashoda i izdataka'!$K$3:$K$501)+SUMIF('Unos rashoda P4'!$T$3:$T$501,'A.4 RASHODI FUNK'!$A16,'Unos rashoda P4'!$I$3:$I$501)</f>
        <v>0</v>
      </c>
      <c r="E16" s="278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273">
        <v>22</v>
      </c>
      <c r="B17" s="45" t="s">
        <v>5202</v>
      </c>
      <c r="C17" s="278">
        <f>SUMIF('Unos rashoda i izdataka'!$R$3:$R$501,'A.4 RASHODI FUNK'!$A17,'Unos rashoda i izdataka'!$J$3:$J$501)+SUMIF('Unos rashoda P4'!$T$3:$T$501,'A.4 RASHODI FUNK'!$A17,'Unos rashoda P4'!$H$3:$H$501)</f>
        <v>0</v>
      </c>
      <c r="D17" s="278">
        <f>SUMIF('Unos rashoda i izdataka'!$R$3:$R$501,'A.4 RASHODI FUNK'!$A17,'Unos rashoda i izdataka'!$K$3:$K$501)+SUMIF('Unos rashoda P4'!$T$3:$T$501,'A.4 RASHODI FUNK'!$A17,'Unos rashoda P4'!$I$3:$I$501)</f>
        <v>0</v>
      </c>
      <c r="E17" s="278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273">
        <v>23</v>
      </c>
      <c r="B18" s="45" t="s">
        <v>5203</v>
      </c>
      <c r="C18" s="278">
        <f>SUMIF('Unos rashoda i izdataka'!$R$3:$R$501,'A.4 RASHODI FUNK'!$A18,'Unos rashoda i izdataka'!$J$3:$J$501)+SUMIF('Unos rashoda P4'!$T$3:$T$501,'A.4 RASHODI FUNK'!$A18,'Unos rashoda P4'!$H$3:$H$501)</f>
        <v>0</v>
      </c>
      <c r="D18" s="278">
        <f>SUMIF('Unos rashoda i izdataka'!$R$3:$R$501,'A.4 RASHODI FUNK'!$A18,'Unos rashoda i izdataka'!$K$3:$K$501)+SUMIF('Unos rashoda P4'!$T$3:$T$501,'A.4 RASHODI FUNK'!$A18,'Unos rashoda P4'!$I$3:$I$501)</f>
        <v>0</v>
      </c>
      <c r="E18" s="278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273">
        <v>24</v>
      </c>
      <c r="B19" s="45" t="s">
        <v>5204</v>
      </c>
      <c r="C19" s="278">
        <f>SUMIF('Unos rashoda i izdataka'!$R$3:$R$501,'A.4 RASHODI FUNK'!$A19,'Unos rashoda i izdataka'!$J$3:$J$501)+SUMIF('Unos rashoda P4'!$T$3:$T$501,'A.4 RASHODI FUNK'!$A19,'Unos rashoda P4'!$H$3:$H$501)</f>
        <v>0</v>
      </c>
      <c r="D19" s="278">
        <f>SUMIF('Unos rashoda i izdataka'!$R$3:$R$501,'A.4 RASHODI FUNK'!$A19,'Unos rashoda i izdataka'!$K$3:$K$501)+SUMIF('Unos rashoda P4'!$T$3:$T$501,'A.4 RASHODI FUNK'!$A19,'Unos rashoda P4'!$I$3:$I$501)</f>
        <v>0</v>
      </c>
      <c r="E19" s="278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273">
        <v>25</v>
      </c>
      <c r="B20" s="45" t="s">
        <v>5205</v>
      </c>
      <c r="C20" s="278">
        <f>SUMIF('Unos rashoda i izdataka'!$R$3:$R$501,'A.4 RASHODI FUNK'!$A20,'Unos rashoda i izdataka'!$J$3:$J$501)+SUMIF('Unos rashoda P4'!$T$3:$T$501,'A.4 RASHODI FUNK'!$A20,'Unos rashoda P4'!$H$3:$H$501)</f>
        <v>0</v>
      </c>
      <c r="D20" s="278">
        <f>SUMIF('Unos rashoda i izdataka'!$R$3:$R$501,'A.4 RASHODI FUNK'!$A20,'Unos rashoda i izdataka'!$K$3:$K$501)+SUMIF('Unos rashoda P4'!$T$3:$T$501,'A.4 RASHODI FUNK'!$A20,'Unos rashoda P4'!$I$3:$I$501)</f>
        <v>0</v>
      </c>
      <c r="E20" s="278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257">
        <v>3</v>
      </c>
      <c r="B21" s="64" t="s">
        <v>5206</v>
      </c>
      <c r="C21" s="283">
        <f>SUM(C22:C27)</f>
        <v>0</v>
      </c>
      <c r="D21" s="283">
        <f>SUM(D22:D27)</f>
        <v>0</v>
      </c>
      <c r="E21" s="283">
        <f>SUM(E22:E27)</f>
        <v>0</v>
      </c>
    </row>
    <row r="22" spans="1:5">
      <c r="A22" s="273">
        <v>31</v>
      </c>
      <c r="B22" s="45" t="s">
        <v>5207</v>
      </c>
      <c r="C22" s="278">
        <f>SUMIF('Unos rashoda i izdataka'!$R$3:$R$501,'A.4 RASHODI FUNK'!$A22,'Unos rashoda i izdataka'!$J$3:$J$501)+SUMIF('Unos rashoda P4'!$T$3:$T$501,'A.4 RASHODI FUNK'!$A22,'Unos rashoda P4'!$H$3:$H$501)</f>
        <v>0</v>
      </c>
      <c r="D22" s="278">
        <f>SUMIF('Unos rashoda i izdataka'!$R$3:$R$501,'A.4 RASHODI FUNK'!$A22,'Unos rashoda i izdataka'!$K$3:$K$501)+SUMIF('Unos rashoda P4'!$T$3:$T$501,'A.4 RASHODI FUNK'!$A22,'Unos rashoda P4'!$I$3:$I$501)</f>
        <v>0</v>
      </c>
      <c r="E22" s="278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273">
        <v>32</v>
      </c>
      <c r="B23" s="45" t="s">
        <v>5208</v>
      </c>
      <c r="C23" s="278">
        <f>SUMIF('Unos rashoda i izdataka'!$R$3:$R$501,'A.4 RASHODI FUNK'!$A23,'Unos rashoda i izdataka'!$J$3:$J$501)+SUMIF('Unos rashoda P4'!$T$3:$T$501,'A.4 RASHODI FUNK'!$A23,'Unos rashoda P4'!$H$3:$H$501)</f>
        <v>0</v>
      </c>
      <c r="D23" s="278">
        <f>SUMIF('Unos rashoda i izdataka'!$R$3:$R$501,'A.4 RASHODI FUNK'!$A23,'Unos rashoda i izdataka'!$K$3:$K$501)+SUMIF('Unos rashoda P4'!$T$3:$T$501,'A.4 RASHODI FUNK'!$A23,'Unos rashoda P4'!$I$3:$I$501)</f>
        <v>0</v>
      </c>
      <c r="E23" s="278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273">
        <v>33</v>
      </c>
      <c r="B24" s="45" t="s">
        <v>5209</v>
      </c>
      <c r="C24" s="278">
        <f>SUMIF('Unos rashoda i izdataka'!$R$3:$R$501,'A.4 RASHODI FUNK'!$A24,'Unos rashoda i izdataka'!$J$3:$J$501)+SUMIF('Unos rashoda P4'!$T$3:$T$501,'A.4 RASHODI FUNK'!$A24,'Unos rashoda P4'!$H$3:$H$501)</f>
        <v>0</v>
      </c>
      <c r="D24" s="278">
        <f>SUMIF('Unos rashoda i izdataka'!$R$3:$R$501,'A.4 RASHODI FUNK'!$A24,'Unos rashoda i izdataka'!$K$3:$K$501)+SUMIF('Unos rashoda P4'!$T$3:$T$501,'A.4 RASHODI FUNK'!$A24,'Unos rashoda P4'!$I$3:$I$501)</f>
        <v>0</v>
      </c>
      <c r="E24" s="278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273">
        <v>34</v>
      </c>
      <c r="B25" s="45" t="s">
        <v>5210</v>
      </c>
      <c r="C25" s="278">
        <f>SUMIF('Unos rashoda i izdataka'!$R$3:$R$501,'A.4 RASHODI FUNK'!$A25,'Unos rashoda i izdataka'!$J$3:$J$501)+SUMIF('Unos rashoda P4'!$T$3:$T$501,'A.4 RASHODI FUNK'!$A25,'Unos rashoda P4'!$H$3:$H$501)</f>
        <v>0</v>
      </c>
      <c r="D25" s="278">
        <f>SUMIF('Unos rashoda i izdataka'!$R$3:$R$501,'A.4 RASHODI FUNK'!$A25,'Unos rashoda i izdataka'!$K$3:$K$501)+SUMIF('Unos rashoda P4'!$T$3:$T$501,'A.4 RASHODI FUNK'!$A25,'Unos rashoda P4'!$I$3:$I$501)</f>
        <v>0</v>
      </c>
      <c r="E25" s="278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273">
        <v>35</v>
      </c>
      <c r="B26" s="45" t="s">
        <v>5211</v>
      </c>
      <c r="C26" s="278">
        <f>SUMIF('Unos rashoda i izdataka'!$R$3:$R$501,'A.4 RASHODI FUNK'!$A26,'Unos rashoda i izdataka'!$J$3:$J$501)+SUMIF('Unos rashoda P4'!$T$3:$T$501,'A.4 RASHODI FUNK'!$A26,'Unos rashoda P4'!$H$3:$H$501)</f>
        <v>0</v>
      </c>
      <c r="D26" s="278">
        <f>SUMIF('Unos rashoda i izdataka'!$R$3:$R$501,'A.4 RASHODI FUNK'!$A26,'Unos rashoda i izdataka'!$K$3:$K$501)+SUMIF('Unos rashoda P4'!$T$3:$T$501,'A.4 RASHODI FUNK'!$A26,'Unos rashoda P4'!$I$3:$I$501)</f>
        <v>0</v>
      </c>
      <c r="E26" s="278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273">
        <v>36</v>
      </c>
      <c r="B27" s="45" t="s">
        <v>5212</v>
      </c>
      <c r="C27" s="278">
        <f>SUMIF('Unos rashoda i izdataka'!$R$3:$R$501,'A.4 RASHODI FUNK'!$A27,'Unos rashoda i izdataka'!$J$3:$J$501)+SUMIF('Unos rashoda P4'!$T$3:$T$501,'A.4 RASHODI FUNK'!$A27,'Unos rashoda P4'!$H$3:$H$501)</f>
        <v>0</v>
      </c>
      <c r="D27" s="278">
        <f>SUMIF('Unos rashoda i izdataka'!$R$3:$R$501,'A.4 RASHODI FUNK'!$A27,'Unos rashoda i izdataka'!$K$3:$K$501)+SUMIF('Unos rashoda P4'!$T$3:$T$501,'A.4 RASHODI FUNK'!$A27,'Unos rashoda P4'!$I$3:$I$501)</f>
        <v>0</v>
      </c>
      <c r="E27" s="278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257">
        <v>4</v>
      </c>
      <c r="B28" s="64" t="s">
        <v>5213</v>
      </c>
      <c r="C28" s="283">
        <f>SUM(C29:C37)</f>
        <v>0</v>
      </c>
      <c r="D28" s="283">
        <f>SUM(D29:D37)</f>
        <v>0</v>
      </c>
      <c r="E28" s="283">
        <f>SUM(E29:E37)</f>
        <v>0</v>
      </c>
    </row>
    <row r="29" spans="1:5">
      <c r="A29" s="273">
        <v>41</v>
      </c>
      <c r="B29" s="45" t="s">
        <v>5214</v>
      </c>
      <c r="C29" s="278">
        <f>SUMIF('Unos rashoda i izdataka'!$R$3:$R$501,'A.4 RASHODI FUNK'!$A29,'Unos rashoda i izdataka'!$J$3:$J$501)+SUMIF('Unos rashoda P4'!$T$3:$T$501,'A.4 RASHODI FUNK'!$A29,'Unos rashoda P4'!$H$3:$H$501)</f>
        <v>0</v>
      </c>
      <c r="D29" s="278">
        <f>SUMIF('Unos rashoda i izdataka'!$R$3:$R$501,'A.4 RASHODI FUNK'!$A29,'Unos rashoda i izdataka'!$K$3:$K$501)+SUMIF('Unos rashoda P4'!$T$3:$T$501,'A.4 RASHODI FUNK'!$A29,'Unos rashoda P4'!$I$3:$I$501)</f>
        <v>0</v>
      </c>
      <c r="E29" s="278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273">
        <v>42</v>
      </c>
      <c r="B30" s="45" t="s">
        <v>5215</v>
      </c>
      <c r="C30" s="278">
        <f>SUMIF('Unos rashoda i izdataka'!$R$3:$R$501,'A.4 RASHODI FUNK'!$A30,'Unos rashoda i izdataka'!$J$3:$J$501)+SUMIF('Unos rashoda P4'!$T$3:$T$501,'A.4 RASHODI FUNK'!$A30,'Unos rashoda P4'!$H$3:$H$501)</f>
        <v>0</v>
      </c>
      <c r="D30" s="278">
        <f>SUMIF('Unos rashoda i izdataka'!$R$3:$R$501,'A.4 RASHODI FUNK'!$A30,'Unos rashoda i izdataka'!$K$3:$K$501)+SUMIF('Unos rashoda P4'!$T$3:$T$501,'A.4 RASHODI FUNK'!$A30,'Unos rashoda P4'!$I$3:$I$501)</f>
        <v>0</v>
      </c>
      <c r="E30" s="278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273">
        <v>43</v>
      </c>
      <c r="B31" s="45" t="s">
        <v>5216</v>
      </c>
      <c r="C31" s="278">
        <f>SUMIF('Unos rashoda i izdataka'!$R$3:$R$501,'A.4 RASHODI FUNK'!$A31,'Unos rashoda i izdataka'!$J$3:$J$501)+SUMIF('Unos rashoda P4'!$T$3:$T$501,'A.4 RASHODI FUNK'!$A31,'Unos rashoda P4'!$H$3:$H$501)</f>
        <v>0</v>
      </c>
      <c r="D31" s="278">
        <f>SUMIF('Unos rashoda i izdataka'!$R$3:$R$501,'A.4 RASHODI FUNK'!$A31,'Unos rashoda i izdataka'!$K$3:$K$501)+SUMIF('Unos rashoda P4'!$T$3:$T$501,'A.4 RASHODI FUNK'!$A31,'Unos rashoda P4'!$I$3:$I$501)</f>
        <v>0</v>
      </c>
      <c r="E31" s="278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273">
        <v>44</v>
      </c>
      <c r="B32" s="45" t="s">
        <v>5217</v>
      </c>
      <c r="C32" s="278">
        <f>SUMIF('Unos rashoda i izdataka'!$R$3:$R$501,'A.4 RASHODI FUNK'!$A32,'Unos rashoda i izdataka'!$J$3:$J$501)+SUMIF('Unos rashoda P4'!$T$3:$T$501,'A.4 RASHODI FUNK'!$A32,'Unos rashoda P4'!$H$3:$H$501)</f>
        <v>0</v>
      </c>
      <c r="D32" s="278">
        <f>SUMIF('Unos rashoda i izdataka'!$R$3:$R$501,'A.4 RASHODI FUNK'!$A32,'Unos rashoda i izdataka'!$K$3:$K$501)+SUMIF('Unos rashoda P4'!$T$3:$T$501,'A.4 RASHODI FUNK'!$A32,'Unos rashoda P4'!$I$3:$I$501)</f>
        <v>0</v>
      </c>
      <c r="E32" s="278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273">
        <v>45</v>
      </c>
      <c r="B33" s="45" t="s">
        <v>5218</v>
      </c>
      <c r="C33" s="278">
        <f>SUMIF('Unos rashoda i izdataka'!$R$3:$R$501,'A.4 RASHODI FUNK'!$A33,'Unos rashoda i izdataka'!$J$3:$J$501)+SUMIF('Unos rashoda P4'!$T$3:$T$501,'A.4 RASHODI FUNK'!$A33,'Unos rashoda P4'!$H$3:$H$501)</f>
        <v>0</v>
      </c>
      <c r="D33" s="278">
        <f>SUMIF('Unos rashoda i izdataka'!$R$3:$R$501,'A.4 RASHODI FUNK'!$A33,'Unos rashoda i izdataka'!$K$3:$K$501)+SUMIF('Unos rashoda P4'!$T$3:$T$501,'A.4 RASHODI FUNK'!$A33,'Unos rashoda P4'!$I$3:$I$501)</f>
        <v>0</v>
      </c>
      <c r="E33" s="278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273">
        <v>46</v>
      </c>
      <c r="B34" s="45" t="s">
        <v>5176</v>
      </c>
      <c r="C34" s="278">
        <f>SUMIF('Unos rashoda i izdataka'!$R$3:$R$501,'A.4 RASHODI FUNK'!$A34,'Unos rashoda i izdataka'!$J$3:$J$501)+SUMIF('Unos rashoda P4'!$T$3:$T$501,'A.4 RASHODI FUNK'!$A34,'Unos rashoda P4'!$H$3:$H$501)</f>
        <v>0</v>
      </c>
      <c r="D34" s="278">
        <f>SUMIF('Unos rashoda i izdataka'!$R$3:$R$501,'A.4 RASHODI FUNK'!$A34,'Unos rashoda i izdataka'!$K$3:$K$501)+SUMIF('Unos rashoda P4'!$T$3:$T$501,'A.4 RASHODI FUNK'!$A34,'Unos rashoda P4'!$I$3:$I$501)</f>
        <v>0</v>
      </c>
      <c r="E34" s="278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273">
        <v>47</v>
      </c>
      <c r="B35" s="45" t="s">
        <v>5219</v>
      </c>
      <c r="C35" s="278">
        <f>SUMIF('Unos rashoda i izdataka'!$R$3:$R$501,'A.4 RASHODI FUNK'!$A35,'Unos rashoda i izdataka'!$J$3:$J$501)+SUMIF('Unos rashoda P4'!$T$3:$T$501,'A.4 RASHODI FUNK'!$A35,'Unos rashoda P4'!$H$3:$H$501)</f>
        <v>0</v>
      </c>
      <c r="D35" s="278">
        <f>SUMIF('Unos rashoda i izdataka'!$R$3:$R$501,'A.4 RASHODI FUNK'!$A35,'Unos rashoda i izdataka'!$K$3:$K$501)+SUMIF('Unos rashoda P4'!$T$3:$T$501,'A.4 RASHODI FUNK'!$A35,'Unos rashoda P4'!$I$3:$I$501)</f>
        <v>0</v>
      </c>
      <c r="E35" s="278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273">
        <v>48</v>
      </c>
      <c r="B36" s="45" t="s">
        <v>5220</v>
      </c>
      <c r="C36" s="278">
        <f>SUMIF('Unos rashoda i izdataka'!$R$3:$R$501,'A.4 RASHODI FUNK'!$A36,'Unos rashoda i izdataka'!$J$3:$J$501)+SUMIF('Unos rashoda P4'!$T$3:$T$501,'A.4 RASHODI FUNK'!$A36,'Unos rashoda P4'!$H$3:$H$501)</f>
        <v>0</v>
      </c>
      <c r="D36" s="278">
        <f>SUMIF('Unos rashoda i izdataka'!$R$3:$R$501,'A.4 RASHODI FUNK'!$A36,'Unos rashoda i izdataka'!$K$3:$K$501)+SUMIF('Unos rashoda P4'!$T$3:$T$501,'A.4 RASHODI FUNK'!$A36,'Unos rashoda P4'!$I$3:$I$501)</f>
        <v>0</v>
      </c>
      <c r="E36" s="278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273">
        <v>49</v>
      </c>
      <c r="B37" s="45" t="s">
        <v>5221</v>
      </c>
      <c r="C37" s="278">
        <f>SUMIF('Unos rashoda i izdataka'!$R$3:$R$501,'A.4 RASHODI FUNK'!$A37,'Unos rashoda i izdataka'!$J$3:$J$501)+SUMIF('Unos rashoda P4'!$T$3:$T$501,'A.4 RASHODI FUNK'!$A37,'Unos rashoda P4'!$H$3:$H$501)</f>
        <v>0</v>
      </c>
      <c r="D37" s="278">
        <f>SUMIF('Unos rashoda i izdataka'!$R$3:$R$501,'A.4 RASHODI FUNK'!$A37,'Unos rashoda i izdataka'!$K$3:$K$501)+SUMIF('Unos rashoda P4'!$T$3:$T$501,'A.4 RASHODI FUNK'!$A37,'Unos rashoda P4'!$I$3:$I$501)</f>
        <v>0</v>
      </c>
      <c r="E37" s="278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257">
        <v>5</v>
      </c>
      <c r="B38" s="64" t="s">
        <v>5222</v>
      </c>
      <c r="C38" s="283">
        <f>SUM(C39:C44)</f>
        <v>0</v>
      </c>
      <c r="D38" s="283">
        <f>SUM(D39:D44)</f>
        <v>0</v>
      </c>
      <c r="E38" s="283">
        <f>SUM(E39:E44)</f>
        <v>0</v>
      </c>
    </row>
    <row r="39" spans="1:5">
      <c r="A39" s="273">
        <v>51</v>
      </c>
      <c r="B39" s="45" t="s">
        <v>5223</v>
      </c>
      <c r="C39" s="278">
        <f>SUMIF('Unos rashoda i izdataka'!$R$3:$R$501,'A.4 RASHODI FUNK'!$A39,'Unos rashoda i izdataka'!$J$3:$J$501)+SUMIF('Unos rashoda P4'!$T$3:$T$501,'A.4 RASHODI FUNK'!$A39,'Unos rashoda P4'!$H$3:$H$501)</f>
        <v>0</v>
      </c>
      <c r="D39" s="278">
        <f>SUMIF('Unos rashoda i izdataka'!$R$3:$R$501,'A.4 RASHODI FUNK'!$A39,'Unos rashoda i izdataka'!$K$3:$K$501)+SUMIF('Unos rashoda P4'!$T$3:$T$501,'A.4 RASHODI FUNK'!$A39,'Unos rashoda P4'!$I$3:$I$501)</f>
        <v>0</v>
      </c>
      <c r="E39" s="278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273">
        <v>52</v>
      </c>
      <c r="B40" s="45" t="s">
        <v>5224</v>
      </c>
      <c r="C40" s="278">
        <f>SUMIF('Unos rashoda i izdataka'!$R$3:$R$501,'A.4 RASHODI FUNK'!$A40,'Unos rashoda i izdataka'!$J$3:$J$501)+SUMIF('Unos rashoda P4'!$T$3:$T$501,'A.4 RASHODI FUNK'!$A40,'Unos rashoda P4'!$H$3:$H$501)</f>
        <v>0</v>
      </c>
      <c r="D40" s="278">
        <f>SUMIF('Unos rashoda i izdataka'!$R$3:$R$501,'A.4 RASHODI FUNK'!$A40,'Unos rashoda i izdataka'!$K$3:$K$501)+SUMIF('Unos rashoda P4'!$T$3:$T$501,'A.4 RASHODI FUNK'!$A40,'Unos rashoda P4'!$I$3:$I$501)</f>
        <v>0</v>
      </c>
      <c r="E40" s="278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273">
        <v>53</v>
      </c>
      <c r="B41" s="45" t="s">
        <v>5225</v>
      </c>
      <c r="C41" s="278">
        <f>SUMIF('Unos rashoda i izdataka'!$R$3:$R$501,'A.4 RASHODI FUNK'!$A41,'Unos rashoda i izdataka'!$J$3:$J$501)+SUMIF('Unos rashoda P4'!$T$3:$T$501,'A.4 RASHODI FUNK'!$A41,'Unos rashoda P4'!$H$3:$H$501)</f>
        <v>0</v>
      </c>
      <c r="D41" s="278">
        <f>SUMIF('Unos rashoda i izdataka'!$R$3:$R$501,'A.4 RASHODI FUNK'!$A41,'Unos rashoda i izdataka'!$K$3:$K$501)+SUMIF('Unos rashoda P4'!$T$3:$T$501,'A.4 RASHODI FUNK'!$A41,'Unos rashoda P4'!$I$3:$I$501)</f>
        <v>0</v>
      </c>
      <c r="E41" s="278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273">
        <v>54</v>
      </c>
      <c r="B42" s="45" t="s">
        <v>5226</v>
      </c>
      <c r="C42" s="278">
        <f>SUMIF('Unos rashoda i izdataka'!$R$3:$R$501,'A.4 RASHODI FUNK'!$A42,'Unos rashoda i izdataka'!$J$3:$J$501)+SUMIF('Unos rashoda P4'!$T$3:$T$501,'A.4 RASHODI FUNK'!$A42,'Unos rashoda P4'!$H$3:$H$501)</f>
        <v>0</v>
      </c>
      <c r="D42" s="278">
        <f>SUMIF('Unos rashoda i izdataka'!$R$3:$R$501,'A.4 RASHODI FUNK'!$A42,'Unos rashoda i izdataka'!$K$3:$K$501)+SUMIF('Unos rashoda P4'!$T$3:$T$501,'A.4 RASHODI FUNK'!$A42,'Unos rashoda P4'!$I$3:$I$501)</f>
        <v>0</v>
      </c>
      <c r="E42" s="278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273">
        <v>55</v>
      </c>
      <c r="B43" s="45" t="s">
        <v>5227</v>
      </c>
      <c r="C43" s="278">
        <f>SUMIF('Unos rashoda i izdataka'!$R$3:$R$501,'A.4 RASHODI FUNK'!$A43,'Unos rashoda i izdataka'!$J$3:$J$501)+SUMIF('Unos rashoda P4'!$T$3:$T$501,'A.4 RASHODI FUNK'!$A43,'Unos rashoda P4'!$H$3:$H$501)</f>
        <v>0</v>
      </c>
      <c r="D43" s="278">
        <f>SUMIF('Unos rashoda i izdataka'!$R$3:$R$501,'A.4 RASHODI FUNK'!$A43,'Unos rashoda i izdataka'!$K$3:$K$501)+SUMIF('Unos rashoda P4'!$T$3:$T$501,'A.4 RASHODI FUNK'!$A43,'Unos rashoda P4'!$I$3:$I$501)</f>
        <v>0</v>
      </c>
      <c r="E43" s="278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273">
        <v>56</v>
      </c>
      <c r="B44" s="45" t="s">
        <v>5228</v>
      </c>
      <c r="C44" s="278">
        <f>SUMIF('Unos rashoda i izdataka'!$R$3:$R$501,'A.4 RASHODI FUNK'!$A44,'Unos rashoda i izdataka'!$J$3:$J$501)+SUMIF('Unos rashoda P4'!$T$3:$T$501,'A.4 RASHODI FUNK'!$A44,'Unos rashoda P4'!$H$3:$H$501)</f>
        <v>0</v>
      </c>
      <c r="D44" s="278">
        <f>SUMIF('Unos rashoda i izdataka'!$R$3:$R$501,'A.4 RASHODI FUNK'!$A44,'Unos rashoda i izdataka'!$K$3:$K$501)+SUMIF('Unos rashoda P4'!$T$3:$T$501,'A.4 RASHODI FUNK'!$A44,'Unos rashoda P4'!$I$3:$I$501)</f>
        <v>0</v>
      </c>
      <c r="E44" s="278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257">
        <v>6</v>
      </c>
      <c r="B45" s="64" t="s">
        <v>5229</v>
      </c>
      <c r="C45" s="283">
        <f>SUM(C46:C51)</f>
        <v>0</v>
      </c>
      <c r="D45" s="283">
        <f>SUM(D46:D51)</f>
        <v>0</v>
      </c>
      <c r="E45" s="283">
        <f>SUM(E46:E51)</f>
        <v>0</v>
      </c>
    </row>
    <row r="46" spans="1:5">
      <c r="A46" s="273">
        <v>61</v>
      </c>
      <c r="B46" s="45" t="s">
        <v>5230</v>
      </c>
      <c r="C46" s="278">
        <f>SUMIF('Unos rashoda i izdataka'!$R$3:$R$501,'A.4 RASHODI FUNK'!$A46,'Unos rashoda i izdataka'!$J$3:$J$501)+SUMIF('Unos rashoda P4'!$T$3:$T$501,'A.4 RASHODI FUNK'!$A46,'Unos rashoda P4'!$H$3:$H$501)</f>
        <v>0</v>
      </c>
      <c r="D46" s="278">
        <f>SUMIF('Unos rashoda i izdataka'!$R$3:$R$501,'A.4 RASHODI FUNK'!$A46,'Unos rashoda i izdataka'!$K$3:$K$501)+SUMIF('Unos rashoda P4'!$T$3:$T$501,'A.4 RASHODI FUNK'!$A46,'Unos rashoda P4'!$I$3:$I$501)</f>
        <v>0</v>
      </c>
      <c r="E46" s="278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273">
        <v>62</v>
      </c>
      <c r="B47" s="45" t="s">
        <v>5231</v>
      </c>
      <c r="C47" s="278">
        <f>SUMIF('Unos rashoda i izdataka'!$R$3:$R$501,'A.4 RASHODI FUNK'!$A47,'Unos rashoda i izdataka'!$J$3:$J$501)+SUMIF('Unos rashoda P4'!$T$3:$T$501,'A.4 RASHODI FUNK'!$A47,'Unos rashoda P4'!$H$3:$H$501)</f>
        <v>0</v>
      </c>
      <c r="D47" s="278">
        <f>SUMIF('Unos rashoda i izdataka'!$R$3:$R$501,'A.4 RASHODI FUNK'!$A47,'Unos rashoda i izdataka'!$K$3:$K$501)+SUMIF('Unos rashoda P4'!$T$3:$T$501,'A.4 RASHODI FUNK'!$A47,'Unos rashoda P4'!$I$3:$I$501)</f>
        <v>0</v>
      </c>
      <c r="E47" s="278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273">
        <v>63</v>
      </c>
      <c r="B48" s="45" t="s">
        <v>5232</v>
      </c>
      <c r="C48" s="278">
        <f>SUMIF('Unos rashoda i izdataka'!$R$3:$R$501,'A.4 RASHODI FUNK'!$A48,'Unos rashoda i izdataka'!$J$3:$J$501)+SUMIF('Unos rashoda P4'!$T$3:$T$501,'A.4 RASHODI FUNK'!$A48,'Unos rashoda P4'!$H$3:$H$501)</f>
        <v>0</v>
      </c>
      <c r="D48" s="278">
        <f>SUMIF('Unos rashoda i izdataka'!$R$3:$R$501,'A.4 RASHODI FUNK'!$A48,'Unos rashoda i izdataka'!$K$3:$K$501)+SUMIF('Unos rashoda P4'!$T$3:$T$501,'A.4 RASHODI FUNK'!$A48,'Unos rashoda P4'!$I$3:$I$501)</f>
        <v>0</v>
      </c>
      <c r="E48" s="278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273">
        <v>64</v>
      </c>
      <c r="B49" s="45" t="s">
        <v>5233</v>
      </c>
      <c r="C49" s="278">
        <f>SUMIF('Unos rashoda i izdataka'!$R$3:$R$501,'A.4 RASHODI FUNK'!$A49,'Unos rashoda i izdataka'!$J$3:$J$501)+SUMIF('Unos rashoda P4'!$T$3:$T$501,'A.4 RASHODI FUNK'!$A49,'Unos rashoda P4'!$H$3:$H$501)</f>
        <v>0</v>
      </c>
      <c r="D49" s="278">
        <f>SUMIF('Unos rashoda i izdataka'!$R$3:$R$501,'A.4 RASHODI FUNK'!$A49,'Unos rashoda i izdataka'!$K$3:$K$501)+SUMIF('Unos rashoda P4'!$T$3:$T$501,'A.4 RASHODI FUNK'!$A49,'Unos rashoda P4'!$I$3:$I$501)</f>
        <v>0</v>
      </c>
      <c r="E49" s="278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273">
        <v>65</v>
      </c>
      <c r="B50" s="45" t="s">
        <v>5234</v>
      </c>
      <c r="C50" s="278">
        <f>SUMIF('Unos rashoda i izdataka'!$R$3:$R$501,'A.4 RASHODI FUNK'!$A50,'Unos rashoda i izdataka'!$J$3:$J$501)+SUMIF('Unos rashoda P4'!$T$3:$T$501,'A.4 RASHODI FUNK'!$A50,'Unos rashoda P4'!$H$3:$H$501)</f>
        <v>0</v>
      </c>
      <c r="D50" s="278">
        <f>SUMIF('Unos rashoda i izdataka'!$R$3:$R$501,'A.4 RASHODI FUNK'!$A50,'Unos rashoda i izdataka'!$K$3:$K$501)+SUMIF('Unos rashoda P4'!$T$3:$T$501,'A.4 RASHODI FUNK'!$A50,'Unos rashoda P4'!$I$3:$I$501)</f>
        <v>0</v>
      </c>
      <c r="E50" s="278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273">
        <v>66</v>
      </c>
      <c r="B51" s="45" t="s">
        <v>5235</v>
      </c>
      <c r="C51" s="278">
        <f>SUMIF('Unos rashoda i izdataka'!$R$3:$R$501,'A.4 RASHODI FUNK'!$A51,'Unos rashoda i izdataka'!$J$3:$J$501)+SUMIF('Unos rashoda P4'!$T$3:$T$501,'A.4 RASHODI FUNK'!$A51,'Unos rashoda P4'!$H$3:$H$501)</f>
        <v>0</v>
      </c>
      <c r="D51" s="278">
        <f>SUMIF('Unos rashoda i izdataka'!$R$3:$R$501,'A.4 RASHODI FUNK'!$A51,'Unos rashoda i izdataka'!$K$3:$K$501)+SUMIF('Unos rashoda P4'!$T$3:$T$501,'A.4 RASHODI FUNK'!$A51,'Unos rashoda P4'!$I$3:$I$501)</f>
        <v>0</v>
      </c>
      <c r="E51" s="278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257">
        <v>7</v>
      </c>
      <c r="B52" s="64" t="s">
        <v>5236</v>
      </c>
      <c r="C52" s="283">
        <f>SUM(C53:C58)</f>
        <v>0</v>
      </c>
      <c r="D52" s="283">
        <f>SUM(D53:D58)</f>
        <v>0</v>
      </c>
      <c r="E52" s="283">
        <f>SUM(E53:E58)</f>
        <v>0</v>
      </c>
    </row>
    <row r="53" spans="1:5">
      <c r="A53" s="273">
        <v>71</v>
      </c>
      <c r="B53" s="45" t="s">
        <v>5237</v>
      </c>
      <c r="C53" s="278">
        <f>SUMIF('Unos rashoda i izdataka'!$R$3:$R$501,'A.4 RASHODI FUNK'!$A53,'Unos rashoda i izdataka'!$J$3:$J$501)+SUMIF('Unos rashoda P4'!$T$3:$T$501,'A.4 RASHODI FUNK'!$A53,'Unos rashoda P4'!$H$3:$H$501)</f>
        <v>0</v>
      </c>
      <c r="D53" s="278">
        <f>SUMIF('Unos rashoda i izdataka'!$R$3:$R$501,'A.4 RASHODI FUNK'!$A53,'Unos rashoda i izdataka'!$K$3:$K$501)+SUMIF('Unos rashoda P4'!$T$3:$T$501,'A.4 RASHODI FUNK'!$A53,'Unos rashoda P4'!$I$3:$I$501)</f>
        <v>0</v>
      </c>
      <c r="E53" s="278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273">
        <v>72</v>
      </c>
      <c r="B54" s="45" t="s">
        <v>5238</v>
      </c>
      <c r="C54" s="278">
        <f>SUMIF('Unos rashoda i izdataka'!$R$3:$R$501,'A.4 RASHODI FUNK'!$A54,'Unos rashoda i izdataka'!$J$3:$J$501)+SUMIF('Unos rashoda P4'!$T$3:$T$501,'A.4 RASHODI FUNK'!$A54,'Unos rashoda P4'!$H$3:$H$501)</f>
        <v>0</v>
      </c>
      <c r="D54" s="278">
        <f>SUMIF('Unos rashoda i izdataka'!$R$3:$R$501,'A.4 RASHODI FUNK'!$A54,'Unos rashoda i izdataka'!$K$3:$K$501)+SUMIF('Unos rashoda P4'!$T$3:$T$501,'A.4 RASHODI FUNK'!$A54,'Unos rashoda P4'!$I$3:$I$501)</f>
        <v>0</v>
      </c>
      <c r="E54" s="278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273">
        <v>73</v>
      </c>
      <c r="B55" s="45" t="s">
        <v>5239</v>
      </c>
      <c r="C55" s="278">
        <f>SUMIF('Unos rashoda i izdataka'!$R$3:$R$501,'A.4 RASHODI FUNK'!$A55,'Unos rashoda i izdataka'!$J$3:$J$501)+SUMIF('Unos rashoda P4'!$T$3:$T$501,'A.4 RASHODI FUNK'!$A55,'Unos rashoda P4'!$H$3:$H$501)</f>
        <v>0</v>
      </c>
      <c r="D55" s="278">
        <f>SUMIF('Unos rashoda i izdataka'!$R$3:$R$501,'A.4 RASHODI FUNK'!$A55,'Unos rashoda i izdataka'!$K$3:$K$501)+SUMIF('Unos rashoda P4'!$T$3:$T$501,'A.4 RASHODI FUNK'!$A55,'Unos rashoda P4'!$I$3:$I$501)</f>
        <v>0</v>
      </c>
      <c r="E55" s="278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273">
        <v>74</v>
      </c>
      <c r="B56" s="45" t="s">
        <v>5240</v>
      </c>
      <c r="C56" s="278">
        <f>SUMIF('Unos rashoda i izdataka'!$R$3:$R$501,'A.4 RASHODI FUNK'!$A56,'Unos rashoda i izdataka'!$J$3:$J$501)+SUMIF('Unos rashoda P4'!$T$3:$T$501,'A.4 RASHODI FUNK'!$A56,'Unos rashoda P4'!$H$3:$H$501)</f>
        <v>0</v>
      </c>
      <c r="D56" s="278">
        <f>SUMIF('Unos rashoda i izdataka'!$R$3:$R$501,'A.4 RASHODI FUNK'!$A56,'Unos rashoda i izdataka'!$K$3:$K$501)+SUMIF('Unos rashoda P4'!$T$3:$T$501,'A.4 RASHODI FUNK'!$A56,'Unos rashoda P4'!$I$3:$I$501)</f>
        <v>0</v>
      </c>
      <c r="E56" s="278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273">
        <v>75</v>
      </c>
      <c r="B57" s="45" t="s">
        <v>5241</v>
      </c>
      <c r="C57" s="278">
        <f>SUMIF('Unos rashoda i izdataka'!$R$3:$R$501,'A.4 RASHODI FUNK'!$A57,'Unos rashoda i izdataka'!$J$3:$J$501)+SUMIF('Unos rashoda P4'!$T$3:$T$501,'A.4 RASHODI FUNK'!$A57,'Unos rashoda P4'!$H$3:$H$501)</f>
        <v>0</v>
      </c>
      <c r="D57" s="278">
        <f>SUMIF('Unos rashoda i izdataka'!$R$3:$R$501,'A.4 RASHODI FUNK'!$A57,'Unos rashoda i izdataka'!$K$3:$K$501)+SUMIF('Unos rashoda P4'!$T$3:$T$501,'A.4 RASHODI FUNK'!$A57,'Unos rashoda P4'!$I$3:$I$501)</f>
        <v>0</v>
      </c>
      <c r="E57" s="278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273">
        <v>76</v>
      </c>
      <c r="B58" s="45" t="s">
        <v>5242</v>
      </c>
      <c r="C58" s="278">
        <f>SUMIF('Unos rashoda i izdataka'!$R$3:$R$501,'A.4 RASHODI FUNK'!$A58,'Unos rashoda i izdataka'!$J$3:$J$501)+SUMIF('Unos rashoda P4'!$T$3:$T$501,'A.4 RASHODI FUNK'!$A58,'Unos rashoda P4'!$H$3:$H$501)</f>
        <v>0</v>
      </c>
      <c r="D58" s="278">
        <f>SUMIF('Unos rashoda i izdataka'!$R$3:$R$501,'A.4 RASHODI FUNK'!$A58,'Unos rashoda i izdataka'!$K$3:$K$501)+SUMIF('Unos rashoda P4'!$T$3:$T$501,'A.4 RASHODI FUNK'!$A58,'Unos rashoda P4'!$I$3:$I$501)</f>
        <v>0</v>
      </c>
      <c r="E58" s="278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257">
        <v>8</v>
      </c>
      <c r="B59" s="64" t="s">
        <v>5243</v>
      </c>
      <c r="C59" s="283">
        <f>SUM(C60:C65)</f>
        <v>0</v>
      </c>
      <c r="D59" s="283">
        <f>SUM(D60:D65)</f>
        <v>0</v>
      </c>
      <c r="E59" s="283">
        <f>SUM(E60:E65)</f>
        <v>0</v>
      </c>
    </row>
    <row r="60" spans="1:5">
      <c r="A60" s="273">
        <v>81</v>
      </c>
      <c r="B60" s="45" t="s">
        <v>5244</v>
      </c>
      <c r="C60" s="278">
        <f>SUMIF('Unos rashoda i izdataka'!$R$3:$R$501,'A.4 RASHODI FUNK'!$A60,'Unos rashoda i izdataka'!$J$3:$J$501)+SUMIF('Unos rashoda P4'!$T$3:$T$501,'A.4 RASHODI FUNK'!$A60,'Unos rashoda P4'!$H$3:$H$501)</f>
        <v>0</v>
      </c>
      <c r="D60" s="278">
        <f>SUMIF('Unos rashoda i izdataka'!$R$3:$R$501,'A.4 RASHODI FUNK'!$A60,'Unos rashoda i izdataka'!$K$3:$K$501)+SUMIF('Unos rashoda P4'!$T$3:$T$501,'A.4 RASHODI FUNK'!$A60,'Unos rashoda P4'!$I$3:$I$501)</f>
        <v>0</v>
      </c>
      <c r="E60" s="278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273">
        <v>82</v>
      </c>
      <c r="B61" s="45" t="s">
        <v>5162</v>
      </c>
      <c r="C61" s="278">
        <f>SUMIF('Unos rashoda i izdataka'!$R$3:$R$501,'A.4 RASHODI FUNK'!$A61,'Unos rashoda i izdataka'!$J$3:$J$501)+SUMIF('Unos rashoda P4'!$T$3:$T$501,'A.4 RASHODI FUNK'!$A61,'Unos rashoda P4'!$H$3:$H$501)</f>
        <v>0</v>
      </c>
      <c r="D61" s="278">
        <f>SUMIF('Unos rashoda i izdataka'!$R$3:$R$501,'A.4 RASHODI FUNK'!$A61,'Unos rashoda i izdataka'!$K$3:$K$501)+SUMIF('Unos rashoda P4'!$T$3:$T$501,'A.4 RASHODI FUNK'!$A61,'Unos rashoda P4'!$I$3:$I$501)</f>
        <v>0</v>
      </c>
      <c r="E61" s="278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273">
        <v>83</v>
      </c>
      <c r="B62" s="45" t="s">
        <v>5245</v>
      </c>
      <c r="C62" s="278">
        <f>SUMIF('Unos rashoda i izdataka'!$R$3:$R$501,'A.4 RASHODI FUNK'!$A62,'Unos rashoda i izdataka'!$J$3:$J$501)+SUMIF('Unos rashoda P4'!$T$3:$T$501,'A.4 RASHODI FUNK'!$A62,'Unos rashoda P4'!$H$3:$H$501)</f>
        <v>0</v>
      </c>
      <c r="D62" s="278">
        <f>SUMIF('Unos rashoda i izdataka'!$R$3:$R$501,'A.4 RASHODI FUNK'!$A62,'Unos rashoda i izdataka'!$K$3:$K$501)+SUMIF('Unos rashoda P4'!$T$3:$T$501,'A.4 RASHODI FUNK'!$A62,'Unos rashoda P4'!$I$3:$I$501)</f>
        <v>0</v>
      </c>
      <c r="E62" s="278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273">
        <v>84</v>
      </c>
      <c r="B63" s="45" t="s">
        <v>5246</v>
      </c>
      <c r="C63" s="278">
        <f>SUMIF('Unos rashoda i izdataka'!$R$3:$R$501,'A.4 RASHODI FUNK'!$A63,'Unos rashoda i izdataka'!$J$3:$J$501)+SUMIF('Unos rashoda P4'!$T$3:$T$501,'A.4 RASHODI FUNK'!$A63,'Unos rashoda P4'!$H$3:$H$501)</f>
        <v>0</v>
      </c>
      <c r="D63" s="278">
        <f>SUMIF('Unos rashoda i izdataka'!$R$3:$R$501,'A.4 RASHODI FUNK'!$A63,'Unos rashoda i izdataka'!$K$3:$K$501)+SUMIF('Unos rashoda P4'!$T$3:$T$501,'A.4 RASHODI FUNK'!$A63,'Unos rashoda P4'!$I$3:$I$501)</f>
        <v>0</v>
      </c>
      <c r="E63" s="278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273">
        <v>85</v>
      </c>
      <c r="B64" s="45" t="s">
        <v>5247</v>
      </c>
      <c r="C64" s="278">
        <f>SUMIF('Unos rashoda i izdataka'!$R$3:$R$501,'A.4 RASHODI FUNK'!$A64,'Unos rashoda i izdataka'!$J$3:$J$501)+SUMIF('Unos rashoda P4'!$T$3:$T$501,'A.4 RASHODI FUNK'!$A64,'Unos rashoda P4'!$H$3:$H$501)</f>
        <v>0</v>
      </c>
      <c r="D64" s="278">
        <f>SUMIF('Unos rashoda i izdataka'!$R$3:$R$501,'A.4 RASHODI FUNK'!$A64,'Unos rashoda i izdataka'!$K$3:$K$501)+SUMIF('Unos rashoda P4'!$T$3:$T$501,'A.4 RASHODI FUNK'!$A64,'Unos rashoda P4'!$I$3:$I$501)</f>
        <v>0</v>
      </c>
      <c r="E64" s="278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273">
        <v>86</v>
      </c>
      <c r="B65" s="45" t="s">
        <v>5248</v>
      </c>
      <c r="C65" s="278">
        <f>SUMIF('Unos rashoda i izdataka'!$R$3:$R$501,'A.4 RASHODI FUNK'!$A65,'Unos rashoda i izdataka'!$J$3:$J$501)+SUMIF('Unos rashoda P4'!$T$3:$T$501,'A.4 RASHODI FUNK'!$A65,'Unos rashoda P4'!$H$3:$H$501)</f>
        <v>0</v>
      </c>
      <c r="D65" s="278">
        <f>SUMIF('Unos rashoda i izdataka'!$R$3:$R$501,'A.4 RASHODI FUNK'!$A65,'Unos rashoda i izdataka'!$K$3:$K$501)+SUMIF('Unos rashoda P4'!$T$3:$T$501,'A.4 RASHODI FUNK'!$A65,'Unos rashoda P4'!$I$3:$I$501)</f>
        <v>0</v>
      </c>
      <c r="E65" s="278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257">
        <v>9</v>
      </c>
      <c r="B66" s="64" t="s">
        <v>5249</v>
      </c>
      <c r="C66" s="283">
        <f>SUM(C67:C74)</f>
        <v>17386682</v>
      </c>
      <c r="D66" s="283">
        <f>SUM(D67:D74)</f>
        <v>9127870</v>
      </c>
      <c r="E66" s="283">
        <f>SUM(E67:E74)</f>
        <v>9204391</v>
      </c>
    </row>
    <row r="67" spans="1:5">
      <c r="A67" s="273">
        <v>91</v>
      </c>
      <c r="B67" s="45" t="s">
        <v>5250</v>
      </c>
      <c r="C67" s="278">
        <f>SUMIF('Unos rashoda i izdataka'!$R$3:$R$501,'A.4 RASHODI FUNK'!$A67,'Unos rashoda i izdataka'!$J$3:$J$501)+SUMIF('Unos rashoda P4'!$T$3:$T$501,'A.4 RASHODI FUNK'!$A67,'Unos rashoda P4'!$H$3:$H$501)</f>
        <v>0</v>
      </c>
      <c r="D67" s="278">
        <f>SUMIF('Unos rashoda i izdataka'!$R$3:$R$501,'A.4 RASHODI FUNK'!$A67,'Unos rashoda i izdataka'!$K$3:$K$501)+SUMIF('Unos rashoda P4'!$T$3:$T$501,'A.4 RASHODI FUNK'!$A67,'Unos rashoda P4'!$I$3:$I$501)</f>
        <v>0</v>
      </c>
      <c r="E67" s="278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273">
        <v>92</v>
      </c>
      <c r="B68" s="45" t="s">
        <v>5251</v>
      </c>
      <c r="C68" s="278">
        <f>SUMIF('Unos rashoda i izdataka'!$R$3:$R$501,'A.4 RASHODI FUNK'!$A68,'Unos rashoda i izdataka'!$J$3:$J$501)+SUMIF('Unos rashoda P4'!$T$3:$T$501,'A.4 RASHODI FUNK'!$A68,'Unos rashoda P4'!$H$3:$H$501)</f>
        <v>0</v>
      </c>
      <c r="D68" s="278">
        <f>SUMIF('Unos rashoda i izdataka'!$R$3:$R$501,'A.4 RASHODI FUNK'!$A68,'Unos rashoda i izdataka'!$K$3:$K$501)+SUMIF('Unos rashoda P4'!$T$3:$T$501,'A.4 RASHODI FUNK'!$A68,'Unos rashoda P4'!$I$3:$I$501)</f>
        <v>0</v>
      </c>
      <c r="E68" s="278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273">
        <v>93</v>
      </c>
      <c r="B69" s="45" t="s">
        <v>5252</v>
      </c>
      <c r="C69" s="278">
        <f>SUMIF('Unos rashoda i izdataka'!$R$3:$R$501,'A.4 RASHODI FUNK'!$A69,'Unos rashoda i izdataka'!$J$3:$J$501)+SUMIF('Unos rashoda P4'!$T$3:$T$501,'A.4 RASHODI FUNK'!$A69,'Unos rashoda P4'!$H$3:$H$501)</f>
        <v>0</v>
      </c>
      <c r="D69" s="278">
        <f>SUMIF('Unos rashoda i izdataka'!$R$3:$R$501,'A.4 RASHODI FUNK'!$A69,'Unos rashoda i izdataka'!$K$3:$K$501)+SUMIF('Unos rashoda P4'!$T$3:$T$501,'A.4 RASHODI FUNK'!$A69,'Unos rashoda P4'!$I$3:$I$501)</f>
        <v>0</v>
      </c>
      <c r="E69" s="278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273">
        <v>94</v>
      </c>
      <c r="B70" s="45" t="s">
        <v>5253</v>
      </c>
      <c r="C70" s="278">
        <f>SUMIF('Unos rashoda i izdataka'!$R$3:$R$501,'A.4 RASHODI FUNK'!$A70,'Unos rashoda i izdataka'!$J$3:$J$501)+SUMIF('Unos rashoda P4'!$T$3:$T$501,'A.4 RASHODI FUNK'!$A70,'Unos rashoda P4'!$H$3:$H$501)</f>
        <v>17386682</v>
      </c>
      <c r="D70" s="278">
        <f>SUMIF('Unos rashoda i izdataka'!$R$3:$R$501,'A.4 RASHODI FUNK'!$A70,'Unos rashoda i izdataka'!$K$3:$K$501)+SUMIF('Unos rashoda P4'!$T$3:$T$501,'A.4 RASHODI FUNK'!$A70,'Unos rashoda P4'!$I$3:$I$501)</f>
        <v>9127870</v>
      </c>
      <c r="E70" s="278">
        <f>SUMIF('Unos rashoda i izdataka'!$R$3:$R$501,'A.4 RASHODI FUNK'!$A70,'Unos rashoda i izdataka'!$L$3:$L$501)+SUMIF('Unos rashoda P4'!$T$3:$T$501,'A.4 RASHODI FUNK'!$A70,'Unos rashoda P4'!$J$3:$J$501)</f>
        <v>9204391</v>
      </c>
    </row>
    <row r="71" spans="1:5">
      <c r="A71" s="273">
        <v>95</v>
      </c>
      <c r="B71" s="45" t="s">
        <v>5172</v>
      </c>
      <c r="C71" s="278">
        <f>SUMIF('Unos rashoda i izdataka'!$R$3:$R$501,'A.4 RASHODI FUNK'!$A71,'Unos rashoda i izdataka'!$J$3:$J$501)+SUMIF('Unos rashoda P4'!$T$3:$T$501,'A.4 RASHODI FUNK'!$A71,'Unos rashoda P4'!$H$3:$H$501)</f>
        <v>0</v>
      </c>
      <c r="D71" s="278">
        <f>SUMIF('Unos rashoda i izdataka'!$R$3:$R$501,'A.4 RASHODI FUNK'!$A71,'Unos rashoda i izdataka'!$K$3:$K$501)+SUMIF('Unos rashoda P4'!$T$3:$T$501,'A.4 RASHODI FUNK'!$A71,'Unos rashoda P4'!$I$3:$I$501)</f>
        <v>0</v>
      </c>
      <c r="E71" s="278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273">
        <v>96</v>
      </c>
      <c r="B72" s="45" t="s">
        <v>5170</v>
      </c>
      <c r="C72" s="278">
        <f>SUMIF('Unos rashoda i izdataka'!$R$3:$R$501,'A.4 RASHODI FUNK'!$A72,'Unos rashoda i izdataka'!$J$3:$J$501)+SUMIF('Unos rashoda P4'!$T$3:$T$501,'A.4 RASHODI FUNK'!$A72,'Unos rashoda P4'!$H$3:$H$501)</f>
        <v>0</v>
      </c>
      <c r="D72" s="278">
        <f>SUMIF('Unos rashoda i izdataka'!$R$3:$R$501,'A.4 RASHODI FUNK'!$A72,'Unos rashoda i izdataka'!$K$3:$K$501)+SUMIF('Unos rashoda P4'!$T$3:$T$501,'A.4 RASHODI FUNK'!$A72,'Unos rashoda P4'!$I$3:$I$501)</f>
        <v>0</v>
      </c>
      <c r="E72" s="278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273">
        <v>97</v>
      </c>
      <c r="B73" s="45" t="s">
        <v>5156</v>
      </c>
      <c r="C73" s="278">
        <f>SUMIF('Unos rashoda i izdataka'!$R$3:$R$501,'A.4 RASHODI FUNK'!$A73,'Unos rashoda i izdataka'!$J$3:$J$501)+SUMIF('Unos rashoda P4'!$T$3:$T$501,'A.4 RASHODI FUNK'!$A73,'Unos rashoda P4'!$H$3:$H$501)</f>
        <v>0</v>
      </c>
      <c r="D73" s="278">
        <f>SUMIF('Unos rashoda i izdataka'!$R$3:$R$501,'A.4 RASHODI FUNK'!$A73,'Unos rashoda i izdataka'!$K$3:$K$501)+SUMIF('Unos rashoda P4'!$T$3:$T$501,'A.4 RASHODI FUNK'!$A73,'Unos rashoda P4'!$I$3:$I$501)</f>
        <v>0</v>
      </c>
      <c r="E73" s="278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273">
        <v>98</v>
      </c>
      <c r="B74" s="45" t="s">
        <v>5158</v>
      </c>
      <c r="C74" s="278">
        <f>SUMIF('Unos rashoda i izdataka'!$R$3:$R$501,'A.4 RASHODI FUNK'!$A74,'Unos rashoda i izdataka'!$J$3:$J$501)+SUMIF('Unos rashoda P4'!$T$3:$T$501,'A.4 RASHODI FUNK'!$A74,'Unos rashoda P4'!$H$3:$H$501)</f>
        <v>0</v>
      </c>
      <c r="D74" s="278">
        <f>SUMIF('Unos rashoda i izdataka'!$R$3:$R$501,'A.4 RASHODI FUNK'!$A74,'Unos rashoda i izdataka'!$K$3:$K$501)+SUMIF('Unos rashoda P4'!$T$3:$T$501,'A.4 RASHODI FUNK'!$A74,'Unos rashoda P4'!$I$3:$I$501)</f>
        <v>0</v>
      </c>
      <c r="E74" s="278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257">
        <v>10</v>
      </c>
      <c r="B75" s="64" t="s">
        <v>5254</v>
      </c>
      <c r="C75" s="283">
        <f>SUM(C76:C84)</f>
        <v>0</v>
      </c>
      <c r="D75" s="283">
        <f>SUM(D76:D84)</f>
        <v>0</v>
      </c>
      <c r="E75" s="283">
        <f>SUM(E76:E84)</f>
        <v>0</v>
      </c>
    </row>
    <row r="76" spans="1:5">
      <c r="A76" s="273">
        <v>101</v>
      </c>
      <c r="B76" s="45" t="s">
        <v>5255</v>
      </c>
      <c r="C76" s="278">
        <f>SUMIF('Unos rashoda i izdataka'!$R$3:$R$501,'A.4 RASHODI FUNK'!$A76,'Unos rashoda i izdataka'!$J$3:$J$501)+SUMIF('Unos rashoda P4'!$T$3:$T$501,'A.4 RASHODI FUNK'!$A76,'Unos rashoda P4'!$H$3:$H$501)</f>
        <v>0</v>
      </c>
      <c r="D76" s="278">
        <f>SUMIF('Unos rashoda i izdataka'!$R$3:$R$501,'A.4 RASHODI FUNK'!$A76,'Unos rashoda i izdataka'!$K$3:$K$501)+SUMIF('Unos rashoda P4'!$T$3:$T$501,'A.4 RASHODI FUNK'!$A76,'Unos rashoda P4'!$I$3:$I$501)</f>
        <v>0</v>
      </c>
      <c r="E76" s="278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273">
        <v>102</v>
      </c>
      <c r="B77" s="45" t="s">
        <v>5256</v>
      </c>
      <c r="C77" s="278">
        <f>SUMIF('Unos rashoda i izdataka'!$R$3:$R$501,'A.4 RASHODI FUNK'!$A77,'Unos rashoda i izdataka'!$J$3:$J$501)+SUMIF('Unos rashoda P4'!$T$3:$T$501,'A.4 RASHODI FUNK'!$A77,'Unos rashoda P4'!$H$3:$H$501)</f>
        <v>0</v>
      </c>
      <c r="D77" s="278">
        <f>SUMIF('Unos rashoda i izdataka'!$R$3:$R$501,'A.4 RASHODI FUNK'!$A77,'Unos rashoda i izdataka'!$K$3:$K$501)+SUMIF('Unos rashoda P4'!$T$3:$T$501,'A.4 RASHODI FUNK'!$A77,'Unos rashoda P4'!$I$3:$I$501)</f>
        <v>0</v>
      </c>
      <c r="E77" s="278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273">
        <v>103</v>
      </c>
      <c r="B78" s="45" t="s">
        <v>5257</v>
      </c>
      <c r="C78" s="278">
        <f>SUMIF('Unos rashoda i izdataka'!$R$3:$R$501,'A.4 RASHODI FUNK'!$A78,'Unos rashoda i izdataka'!$J$3:$J$501)+SUMIF('Unos rashoda P4'!$T$3:$T$501,'A.4 RASHODI FUNK'!$A78,'Unos rashoda P4'!$H$3:$H$501)</f>
        <v>0</v>
      </c>
      <c r="D78" s="278">
        <f>SUMIF('Unos rashoda i izdataka'!$R$3:$R$501,'A.4 RASHODI FUNK'!$A78,'Unos rashoda i izdataka'!$K$3:$K$501)+SUMIF('Unos rashoda P4'!$T$3:$T$501,'A.4 RASHODI FUNK'!$A78,'Unos rashoda P4'!$I$3:$I$501)</f>
        <v>0</v>
      </c>
      <c r="E78" s="278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273">
        <v>104</v>
      </c>
      <c r="B79" s="45" t="s">
        <v>5258</v>
      </c>
      <c r="C79" s="278">
        <f>SUMIF('Unos rashoda i izdataka'!$R$3:$R$501,'A.4 RASHODI FUNK'!$A79,'Unos rashoda i izdataka'!$J$3:$J$501)+SUMIF('Unos rashoda P4'!$T$3:$T$501,'A.4 RASHODI FUNK'!$A79,'Unos rashoda P4'!$H$3:$H$501)</f>
        <v>0</v>
      </c>
      <c r="D79" s="278">
        <f>SUMIF('Unos rashoda i izdataka'!$R$3:$R$501,'A.4 RASHODI FUNK'!$A79,'Unos rashoda i izdataka'!$K$3:$K$501)+SUMIF('Unos rashoda P4'!$T$3:$T$501,'A.4 RASHODI FUNK'!$A79,'Unos rashoda P4'!$I$3:$I$501)</f>
        <v>0</v>
      </c>
      <c r="E79" s="278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273">
        <v>105</v>
      </c>
      <c r="B80" s="45" t="s">
        <v>5259</v>
      </c>
      <c r="C80" s="278">
        <f>SUMIF('Unos rashoda i izdataka'!$R$3:$R$501,'A.4 RASHODI FUNK'!$A80,'Unos rashoda i izdataka'!$J$3:$J$501)+SUMIF('Unos rashoda P4'!$T$3:$T$501,'A.4 RASHODI FUNK'!$A80,'Unos rashoda P4'!$H$3:$H$501)</f>
        <v>0</v>
      </c>
      <c r="D80" s="278">
        <f>SUMIF('Unos rashoda i izdataka'!$R$3:$R$501,'A.4 RASHODI FUNK'!$A80,'Unos rashoda i izdataka'!$K$3:$K$501)+SUMIF('Unos rashoda P4'!$T$3:$T$501,'A.4 RASHODI FUNK'!$A80,'Unos rashoda P4'!$I$3:$I$501)</f>
        <v>0</v>
      </c>
      <c r="E80" s="278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273">
        <v>106</v>
      </c>
      <c r="B81" s="45" t="s">
        <v>5260</v>
      </c>
      <c r="C81" s="278">
        <f>SUMIF('Unos rashoda i izdataka'!$R$3:$R$501,'A.4 RASHODI FUNK'!$A81,'Unos rashoda i izdataka'!$J$3:$J$501)+SUMIF('Unos rashoda P4'!$T$3:$T$501,'A.4 RASHODI FUNK'!$A81,'Unos rashoda P4'!$H$3:$H$501)</f>
        <v>0</v>
      </c>
      <c r="D81" s="278">
        <f>SUMIF('Unos rashoda i izdataka'!$R$3:$R$501,'A.4 RASHODI FUNK'!$A81,'Unos rashoda i izdataka'!$K$3:$K$501)+SUMIF('Unos rashoda P4'!$T$3:$T$501,'A.4 RASHODI FUNK'!$A81,'Unos rashoda P4'!$I$3:$I$501)</f>
        <v>0</v>
      </c>
      <c r="E81" s="278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273">
        <v>107</v>
      </c>
      <c r="B82" s="45" t="s">
        <v>5261</v>
      </c>
      <c r="C82" s="278">
        <f>SUMIF('Unos rashoda i izdataka'!$R$3:$R$501,'A.4 RASHODI FUNK'!$A82,'Unos rashoda i izdataka'!$J$3:$J$501)+SUMIF('Unos rashoda P4'!$T$3:$T$501,'A.4 RASHODI FUNK'!$A82,'Unos rashoda P4'!$H$3:$H$501)</f>
        <v>0</v>
      </c>
      <c r="D82" s="278">
        <f>SUMIF('Unos rashoda i izdataka'!$R$3:$R$501,'A.4 RASHODI FUNK'!$A82,'Unos rashoda i izdataka'!$K$3:$K$501)+SUMIF('Unos rashoda P4'!$T$3:$T$501,'A.4 RASHODI FUNK'!$A82,'Unos rashoda P4'!$I$3:$I$501)</f>
        <v>0</v>
      </c>
      <c r="E82" s="278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273">
        <v>108</v>
      </c>
      <c r="B83" s="45" t="s">
        <v>5262</v>
      </c>
      <c r="C83" s="278">
        <f>SUMIF('Unos rashoda i izdataka'!$R$3:$R$501,'A.4 RASHODI FUNK'!$A83,'Unos rashoda i izdataka'!$J$3:$J$501)+SUMIF('Unos rashoda P4'!$T$3:$T$501,'A.4 RASHODI FUNK'!$A83,'Unos rashoda P4'!$H$3:$H$501)</f>
        <v>0</v>
      </c>
      <c r="D83" s="278">
        <f>SUMIF('Unos rashoda i izdataka'!$R$3:$R$501,'A.4 RASHODI FUNK'!$A83,'Unos rashoda i izdataka'!$K$3:$K$501)+SUMIF('Unos rashoda P4'!$T$3:$T$501,'A.4 RASHODI FUNK'!$A83,'Unos rashoda P4'!$I$3:$I$501)</f>
        <v>0</v>
      </c>
      <c r="E83" s="278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273">
        <v>109</v>
      </c>
      <c r="B84" s="45" t="s">
        <v>5263</v>
      </c>
      <c r="C84" s="278">
        <f>SUMIF('Unos rashoda i izdataka'!$R$3:$R$501,'A.4 RASHODI FUNK'!$A84,'Unos rashoda i izdataka'!$J$3:$J$501)+SUMIF('Unos rashoda P4'!$T$3:$T$501,'A.4 RASHODI FUNK'!$A84,'Unos rashoda P4'!$H$3:$H$501)</f>
        <v>0</v>
      </c>
      <c r="D84" s="278">
        <f>SUMIF('Unos rashoda i izdataka'!$R$3:$R$501,'A.4 RASHODI FUNK'!$A84,'Unos rashoda i izdataka'!$K$3:$K$501)+SUMIF('Unos rashoda P4'!$T$3:$T$501,'A.4 RASHODI FUNK'!$A84,'Unos rashoda P4'!$I$3:$I$501)</f>
        <v>0</v>
      </c>
      <c r="E84" s="278">
        <f>SUMIF('Unos rashoda i izdataka'!$R$3:$R$501,'A.4 RASHODI FUNK'!$A84,'Unos rashoda i izdataka'!$L$3:$L$501)+SUMIF('Unos rashoda P4'!$T$3:$T$501,'A.4 RASHODI FUNK'!$A84,'Unos rashoda P4'!$J$3:$J$501)</f>
        <v>0</v>
      </c>
    </row>
  </sheetData>
  <sheetProtection algorithmName="SHA-512" hashValue="p5YKstKRTuWTr5Fl6JJnjjsXfM8+yixjQd3QvQkSl4pybydvFpd38zuJz0EsELG1Gh75PmWmc7TBbIMcp4bEVQ==" saltValue="gj8yCN1lMg2Z863doOhnlw==" spinCount="100000" sheet="1" objects="1" scenarios="1"/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'KORISNICI DP'!Print_Area</vt:lpstr>
      <vt:lpstr>'OPĆI DIO'!Print_Area</vt:lpstr>
      <vt:lpstr>'Unos prihoda i primitaka'!Print_Area</vt:lpstr>
      <vt:lpstr>'Unos rashoda i izdataka'!Print_Area</vt:lpstr>
      <vt:lpstr>'Unos rashoda P4'!Print_Area</vt:lpstr>
      <vt:lpstr>'A.2 RASHODI'!Print_Titles</vt:lpstr>
      <vt:lpstr>'A.4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Petar Hanžić</cp:lastModifiedBy>
  <cp:lastPrinted>2022-09-18T21:57:43Z</cp:lastPrinted>
  <dcterms:created xsi:type="dcterms:W3CDTF">2018-09-10T07:36:17Z</dcterms:created>
  <dcterms:modified xsi:type="dcterms:W3CDTF">2025-05-14T08:25:12Z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